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10.1.1.3\Obras$\SECRETARIA DE OBRAS\Laura\OBRAS\PRESIDENTE OLEGÁRIO\Paiolão\PPCI\Licitação\"/>
    </mc:Choice>
  </mc:AlternateContent>
  <bookViews>
    <workbookView xWindow="0" yWindow="0" windowWidth="24000" windowHeight="9630"/>
  </bookViews>
  <sheets>
    <sheet name="Orçamento" sheetId="13" r:id="rId1"/>
    <sheet name="Memória de Cálculo" sheetId="14" r:id="rId2"/>
    <sheet name="Cronograma" sheetId="11" r:id="rId3"/>
    <sheet name="BDI" sheetId="12" r:id="rId4"/>
  </sheets>
  <definedNames>
    <definedName name="_xlnm.Print_Area" localSheetId="3">BDI!$A$1:$J$40</definedName>
    <definedName name="_xlnm.Print_Area" localSheetId="2">Cronograma!$A$1:$J$40</definedName>
    <definedName name="_xlnm.Print_Area" localSheetId="1">'Memória de Cálculo'!$A$1:$H$64</definedName>
    <definedName name="_xlnm.Print_Titles" localSheetId="1">'Memória de Cálculo'!$1:$5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4" l="1"/>
  <c r="G49" i="14" l="1"/>
  <c r="G55" i="14"/>
  <c r="F58" i="13" s="1"/>
  <c r="G25" i="14"/>
  <c r="G11" i="14"/>
  <c r="F56" i="13"/>
  <c r="G10" i="14" l="1"/>
  <c r="G46" i="14"/>
  <c r="J24" i="11" l="1"/>
  <c r="B23" i="11"/>
  <c r="A23" i="11"/>
  <c r="F52" i="13"/>
  <c r="H49" i="14"/>
  <c r="B49" i="14"/>
  <c r="A49" i="14"/>
  <c r="A50" i="14"/>
  <c r="A51" i="14"/>
  <c r="A44" i="14" l="1"/>
  <c r="A52" i="14"/>
  <c r="G50" i="14"/>
  <c r="F53" i="13" s="1"/>
  <c r="F31" i="13"/>
  <c r="G48" i="14"/>
  <c r="G47" i="14"/>
  <c r="G45" i="14"/>
  <c r="G27" i="14"/>
  <c r="F30" i="13" s="1"/>
  <c r="G30" i="14"/>
  <c r="F33" i="13" s="1"/>
  <c r="G29" i="14"/>
  <c r="F32" i="13" s="1"/>
  <c r="F29" i="13"/>
  <c r="F28" i="13"/>
  <c r="G20" i="14"/>
  <c r="G17" i="14"/>
  <c r="G18" i="14"/>
  <c r="G19" i="14"/>
  <c r="G22" i="14"/>
  <c r="G21" i="14"/>
  <c r="G13" i="14"/>
  <c r="G12" i="14"/>
  <c r="G9" i="14"/>
  <c r="G24" i="14"/>
  <c r="F27" i="13" s="1"/>
  <c r="G28" i="14"/>
  <c r="H29" i="14"/>
  <c r="H30" i="14"/>
  <c r="B29" i="14"/>
  <c r="B30" i="14"/>
  <c r="A29" i="14"/>
  <c r="A30" i="14"/>
  <c r="A28" i="14"/>
  <c r="B28" i="14"/>
  <c r="G16" i="14"/>
  <c r="G15" i="14"/>
  <c r="F18" i="13" l="1"/>
  <c r="H13" i="14"/>
  <c r="F16" i="13"/>
  <c r="B13" i="14"/>
  <c r="A12" i="14"/>
  <c r="A13" i="14"/>
  <c r="A14" i="14"/>
  <c r="A15" i="14"/>
  <c r="A16" i="14"/>
  <c r="A17" i="14"/>
  <c r="A18" i="14"/>
  <c r="A19" i="14"/>
  <c r="A20" i="14"/>
  <c r="F15" i="13"/>
  <c r="F13" i="13"/>
  <c r="F22" i="13"/>
  <c r="F21" i="13"/>
  <c r="F20" i="13"/>
  <c r="G14" i="14"/>
  <c r="F17" i="13" s="1"/>
  <c r="F19" i="13"/>
  <c r="F14" i="13"/>
  <c r="H12" i="14" l="1"/>
  <c r="H14" i="14"/>
  <c r="H15" i="14"/>
  <c r="H16" i="14"/>
  <c r="H17" i="14"/>
  <c r="B14" i="14"/>
  <c r="B15" i="14"/>
  <c r="B16" i="14"/>
  <c r="B17" i="14"/>
  <c r="B12" i="14"/>
  <c r="A11" i="14"/>
  <c r="A21" i="14"/>
  <c r="A10" i="14"/>
  <c r="A22" i="14"/>
  <c r="H28" i="14" l="1"/>
  <c r="F51" i="13" l="1"/>
  <c r="F54" i="13"/>
  <c r="B48" i="14"/>
  <c r="H48" i="14"/>
  <c r="H50" i="14"/>
  <c r="A48" i="14"/>
  <c r="H46" i="14"/>
  <c r="H47" i="14"/>
  <c r="H11" i="14" l="1"/>
  <c r="B11" i="14"/>
  <c r="F25" i="13"/>
  <c r="F24" i="13"/>
  <c r="H22" i="14"/>
  <c r="B22" i="14"/>
  <c r="F23" i="13" l="1"/>
  <c r="H18" i="14"/>
  <c r="H19" i="14"/>
  <c r="B18" i="14"/>
  <c r="F49" i="13" l="1"/>
  <c r="A46" i="14" l="1"/>
  <c r="A47" i="14"/>
  <c r="B46" i="14"/>
  <c r="F48" i="13"/>
  <c r="F50" i="13"/>
  <c r="H45" i="14" l="1"/>
  <c r="B52" i="14"/>
  <c r="B50" i="14"/>
  <c r="A45" i="14"/>
  <c r="B47" i="14"/>
  <c r="B45" i="14"/>
  <c r="B44" i="14"/>
  <c r="H55" i="14" l="1"/>
  <c r="H53" i="14"/>
  <c r="H51" i="14"/>
  <c r="H42" i="14"/>
  <c r="H40" i="14"/>
  <c r="H37" i="14"/>
  <c r="H38" i="14"/>
  <c r="H39" i="14"/>
  <c r="H36" i="14"/>
  <c r="H35" i="14"/>
  <c r="H33" i="14"/>
  <c r="H32" i="14"/>
  <c r="H26" i="14"/>
  <c r="H27" i="14"/>
  <c r="H25" i="14"/>
  <c r="H24" i="14"/>
  <c r="H10" i="14"/>
  <c r="H20" i="14"/>
  <c r="H21" i="14"/>
  <c r="H9" i="14"/>
  <c r="H7" i="14"/>
  <c r="B53" i="14"/>
  <c r="A53" i="14"/>
  <c r="B51" i="14"/>
  <c r="B43" i="14"/>
  <c r="A43" i="14"/>
  <c r="B42" i="14"/>
  <c r="A42" i="14"/>
  <c r="B41" i="14"/>
  <c r="A41" i="14"/>
  <c r="B40" i="14"/>
  <c r="B39" i="14"/>
  <c r="A40" i="14"/>
  <c r="A39" i="14"/>
  <c r="B38" i="14"/>
  <c r="A38" i="14"/>
  <c r="B37" i="14"/>
  <c r="A37" i="14"/>
  <c r="B36" i="14"/>
  <c r="A36" i="14"/>
  <c r="B35" i="14"/>
  <c r="A35" i="14"/>
  <c r="B34" i="14"/>
  <c r="A34" i="14"/>
  <c r="B33" i="14"/>
  <c r="A33" i="14"/>
  <c r="B32" i="14"/>
  <c r="A32" i="14"/>
  <c r="B31" i="14"/>
  <c r="A31" i="14"/>
  <c r="A27" i="14"/>
  <c r="A26" i="14"/>
  <c r="A25" i="14"/>
  <c r="B27" i="14"/>
  <c r="B26" i="14"/>
  <c r="B25" i="14"/>
  <c r="B24" i="14"/>
  <c r="A24" i="14"/>
  <c r="B21" i="14"/>
  <c r="B20" i="14"/>
  <c r="B19" i="14"/>
  <c r="B25" i="11" l="1"/>
  <c r="B21" i="11"/>
  <c r="B19" i="11"/>
  <c r="B17" i="11"/>
  <c r="B15" i="11"/>
  <c r="B13" i="11"/>
  <c r="B11" i="11"/>
  <c r="A25" i="11"/>
  <c r="A21" i="11"/>
  <c r="A19" i="11"/>
  <c r="A17" i="11"/>
  <c r="A15" i="11"/>
  <c r="A13" i="11"/>
  <c r="B10" i="14"/>
  <c r="F12" i="13"/>
  <c r="B9" i="14"/>
  <c r="A9" i="14"/>
  <c r="A8" i="14"/>
  <c r="B55" i="14"/>
  <c r="A55" i="14"/>
  <c r="A54" i="14"/>
  <c r="B54" i="14"/>
  <c r="B23" i="14"/>
  <c r="A23" i="14"/>
  <c r="A7" i="14"/>
  <c r="A6" i="14"/>
  <c r="F10" i="13"/>
  <c r="B6" i="14"/>
  <c r="B7" i="14" l="1"/>
  <c r="H15" i="12" l="1"/>
  <c r="H24" i="12" s="1"/>
  <c r="G15" i="12"/>
  <c r="G24" i="12" s="1"/>
  <c r="F15" i="12"/>
  <c r="F24" i="12" s="1"/>
  <c r="E15" i="12"/>
  <c r="E24" i="12" s="1"/>
  <c r="D15" i="12"/>
  <c r="D24" i="12" s="1"/>
  <c r="C15" i="12"/>
  <c r="C24" i="12" s="1"/>
  <c r="H12" i="12"/>
  <c r="H23" i="12" s="1"/>
  <c r="G12" i="12"/>
  <c r="G23" i="12" s="1"/>
  <c r="F12" i="12"/>
  <c r="F23" i="12" s="1"/>
  <c r="E12" i="12"/>
  <c r="E23" i="12" s="1"/>
  <c r="E25" i="12" s="1"/>
  <c r="D12" i="12"/>
  <c r="D23" i="12" s="1"/>
  <c r="C12" i="12"/>
  <c r="C23" i="12" s="1"/>
  <c r="F25" i="12" l="1"/>
  <c r="C25" i="12"/>
  <c r="G25" i="12"/>
  <c r="D25" i="12"/>
  <c r="I6" i="13" s="1"/>
  <c r="H25" i="12"/>
  <c r="H58" i="13" l="1"/>
  <c r="I58" i="13" s="1"/>
  <c r="H53" i="13"/>
  <c r="I53" i="13" s="1"/>
  <c r="H40" i="13"/>
  <c r="I40" i="13" s="1"/>
  <c r="H29" i="13"/>
  <c r="I29" i="13" s="1"/>
  <c r="H28" i="13"/>
  <c r="I28" i="13" s="1"/>
  <c r="H20" i="13"/>
  <c r="I20" i="13" s="1"/>
  <c r="H24" i="13"/>
  <c r="I24" i="13" s="1"/>
  <c r="H15" i="13"/>
  <c r="I15" i="13" s="1"/>
  <c r="H10" i="13"/>
  <c r="H49" i="13"/>
  <c r="I49" i="13" s="1"/>
  <c r="H43" i="13"/>
  <c r="I43" i="13" s="1"/>
  <c r="H36" i="13"/>
  <c r="I36" i="13" s="1"/>
  <c r="H18" i="13"/>
  <c r="I18" i="13" s="1"/>
  <c r="H16" i="13"/>
  <c r="I16" i="13" s="1"/>
  <c r="H48" i="13"/>
  <c r="I48" i="13" s="1"/>
  <c r="H39" i="13"/>
  <c r="I39" i="13" s="1"/>
  <c r="H35" i="13"/>
  <c r="I35" i="13" s="1"/>
  <c r="H19" i="13"/>
  <c r="I19" i="13" s="1"/>
  <c r="H23" i="13"/>
  <c r="I23" i="13" s="1"/>
  <c r="H12" i="13"/>
  <c r="I12" i="13" s="1"/>
  <c r="H56" i="13"/>
  <c r="I56" i="13" s="1"/>
  <c r="H54" i="13"/>
  <c r="I54" i="13" s="1"/>
  <c r="H45" i="13"/>
  <c r="I45" i="13" s="1"/>
  <c r="H42" i="13"/>
  <c r="I42" i="13" s="1"/>
  <c r="H30" i="13"/>
  <c r="I30" i="13" s="1"/>
  <c r="H27" i="13"/>
  <c r="I27" i="13" s="1"/>
  <c r="H21" i="13"/>
  <c r="I21" i="13" s="1"/>
  <c r="H25" i="13"/>
  <c r="I25" i="13" s="1"/>
  <c r="H14" i="13"/>
  <c r="I14" i="13" s="1"/>
  <c r="H50" i="13"/>
  <c r="I50" i="13" s="1"/>
  <c r="H31" i="13"/>
  <c r="I31" i="13" s="1"/>
  <c r="H22" i="13"/>
  <c r="I22" i="13" s="1"/>
  <c r="H13" i="13"/>
  <c r="I13" i="13" s="1"/>
  <c r="H52" i="13"/>
  <c r="I52" i="13" s="1"/>
  <c r="H38" i="13"/>
  <c r="I38" i="13" s="1"/>
  <c r="H32" i="13"/>
  <c r="I32" i="13" s="1"/>
  <c r="H17" i="13"/>
  <c r="I17" i="13" s="1"/>
  <c r="H41" i="13"/>
  <c r="I41" i="13" s="1"/>
  <c r="H33" i="13"/>
  <c r="I33" i="13" s="1"/>
  <c r="H51" i="13"/>
  <c r="I51" i="13" s="1"/>
  <c r="J12" i="11"/>
  <c r="A11" i="11"/>
  <c r="I47" i="13" l="1"/>
  <c r="I55" i="13"/>
  <c r="I34" i="13"/>
  <c r="I11" i="13" l="1"/>
  <c r="I46" i="13"/>
  <c r="I26" i="13"/>
  <c r="F15" i="11" s="1"/>
  <c r="F17" i="11"/>
  <c r="F23" i="11" l="1"/>
  <c r="F13" i="11"/>
  <c r="F35" i="12"/>
  <c r="E56" i="14"/>
  <c r="I23" i="11" l="1"/>
  <c r="H23" i="11"/>
  <c r="G23" i="11"/>
  <c r="J23" i="11" l="1"/>
  <c r="A7" i="11"/>
  <c r="H32" i="11" l="1"/>
  <c r="A4" i="14" l="1"/>
  <c r="A3" i="14"/>
  <c r="J20" i="11" l="1"/>
  <c r="J26" i="11"/>
  <c r="J22" i="11"/>
  <c r="I57" i="13" l="1"/>
  <c r="I37" i="13"/>
  <c r="J18" i="11"/>
  <c r="J16" i="11"/>
  <c r="J14" i="11"/>
  <c r="F25" i="11" l="1"/>
  <c r="F19" i="11"/>
  <c r="I44" i="13"/>
  <c r="I10" i="13"/>
  <c r="F21" i="11" l="1"/>
  <c r="G21" i="11" s="1"/>
  <c r="I19" i="11"/>
  <c r="H17" i="11"/>
  <c r="G17" i="11"/>
  <c r="I17" i="11"/>
  <c r="G25" i="11"/>
  <c r="I25" i="11"/>
  <c r="H25" i="11"/>
  <c r="H21" i="11" l="1"/>
  <c r="I21" i="11"/>
  <c r="G13" i="11"/>
  <c r="I15" i="11"/>
  <c r="I13" i="11"/>
  <c r="H13" i="11"/>
  <c r="H15" i="11"/>
  <c r="G19" i="11"/>
  <c r="H19" i="11"/>
  <c r="G15" i="11"/>
  <c r="J17" i="11"/>
  <c r="J21" i="11"/>
  <c r="J25" i="11"/>
  <c r="J13" i="11" l="1"/>
  <c r="J19" i="11"/>
  <c r="J15" i="11"/>
  <c r="I9" i="13" l="1"/>
  <c r="I59" i="13" s="1"/>
  <c r="I8" i="13" l="1"/>
  <c r="F11" i="11"/>
  <c r="G11" i="11" l="1"/>
  <c r="G27" i="11" s="1"/>
  <c r="F27" i="11"/>
  <c r="H11" i="11"/>
  <c r="H27" i="11" s="1"/>
  <c r="I11" i="11"/>
  <c r="I27" i="11" s="1"/>
  <c r="I29" i="11" l="1"/>
  <c r="H29" i="11"/>
  <c r="J11" i="11"/>
  <c r="J27" i="11" s="1"/>
  <c r="G28" i="11"/>
  <c r="H28" i="11" s="1"/>
  <c r="I28" i="11" s="1"/>
  <c r="J28" i="11" s="1"/>
  <c r="G29" i="11"/>
  <c r="J29" i="11" l="1"/>
  <c r="G30" i="11"/>
  <c r="H30" i="11" s="1"/>
  <c r="I30" i="11" s="1"/>
  <c r="J30" i="11" s="1"/>
</calcChain>
</file>

<file path=xl/sharedStrings.xml><?xml version="1.0" encoding="utf-8"?>
<sst xmlns="http://schemas.openxmlformats.org/spreadsheetml/2006/main" count="364" uniqueCount="259">
  <si>
    <r>
      <rPr>
        <b/>
        <sz val="18"/>
        <rFont val="Calibri"/>
        <family val="2"/>
        <scheme val="minor"/>
      </rPr>
      <t>PREFEITURA MUNICIPAL DE PRESIDENTE OLEGÁRIO - MG</t>
    </r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>Secretaria de Obras e Serviços Públicos</t>
    </r>
  </si>
  <si>
    <t>PLANILHA ORÇAMENTÁRIA DE CUSTOS</t>
  </si>
  <si>
    <t>DATA:</t>
  </si>
  <si>
    <t>ISS:</t>
  </si>
  <si>
    <t>FORMA DE EXECUÇÃO:                                         (      ) DIRETA                                                                              (  x  ) INDIRETA</t>
  </si>
  <si>
    <t>BDI:</t>
  </si>
  <si>
    <t>ITEM</t>
  </si>
  <si>
    <t>CÓDIGO</t>
  </si>
  <si>
    <t>DESCRIÇÃO</t>
  </si>
  <si>
    <t>UNID.</t>
  </si>
  <si>
    <t>QUANT.</t>
  </si>
  <si>
    <t>PREÇO UNITÁRIO S/ BDI</t>
  </si>
  <si>
    <t>PREÇO UNITÁRIO C/ BDI</t>
  </si>
  <si>
    <t>PREÇO TOTAL</t>
  </si>
  <si>
    <t>PRAÇA DE PONTE FIRME</t>
  </si>
  <si>
    <t>1</t>
  </si>
  <si>
    <t>SERVIÇOS PRELIMINARES</t>
  </si>
  <si>
    <t>1.1</t>
  </si>
  <si>
    <t>SETOP</t>
  </si>
  <si>
    <t>ED-28427</t>
  </si>
  <si>
    <t>FORNECIMENTO E COLOCAÇÃO DE PLACA DE OBRA EM CHAPA GALVANIZADA (3,00 X 1,50 M) - EM CHAPA GALVANIZADA 0,26 AFIXADAS COM REBITES 540 E PARAFUSOS 3/8, EM ESTRUTURA METÁLICA VIGA U 2" ENRIJECIDA COM METALON 20 X 20, SUPORTE EM EUCALIPTO AUTOCLAVADO PINTADAS</t>
  </si>
  <si>
    <t>U</t>
  </si>
  <si>
    <t>M2</t>
  </si>
  <si>
    <t>2.1</t>
  </si>
  <si>
    <t>M3</t>
  </si>
  <si>
    <t>5.1</t>
  </si>
  <si>
    <t>5.2</t>
  </si>
  <si>
    <t>6.1</t>
  </si>
  <si>
    <t>M</t>
  </si>
  <si>
    <t xml:space="preserve">UN </t>
  </si>
  <si>
    <t>7.1</t>
  </si>
  <si>
    <t>8.1</t>
  </si>
  <si>
    <t>LIMPEZA GERAL</t>
  </si>
  <si>
    <t>VALOR TOTAL DA OBRA (C/ BDI APLICADO)</t>
  </si>
  <si>
    <t>MEMÓRIA DE CÁLCULO DE QUANTITATIVOS FÍSICOS</t>
  </si>
  <si>
    <t xml:space="preserve">FÓRMULAS </t>
  </si>
  <si>
    <t>TOTAL</t>
  </si>
  <si>
    <t>PREFEITURA MUNICIPAL DE PRESIDENTE OLEGÁRIO – MG</t>
  </si>
  <si>
    <t>Praça Dr. Castilho, 10 – Centro – CEP 38750-000 – CNPJ 18.602.060/0001-40</t>
  </si>
  <si>
    <t>Tel.: (34) 3811-1233 – FAX: (34) 3811-0070 – www.po.mg.gov.br</t>
  </si>
  <si>
    <t>CRONOGRAMA FÍSICO FINANCEIRO</t>
  </si>
  <si>
    <t>DISCRIMINAÇÃO DOS SERVIÇOS</t>
  </si>
  <si>
    <t>VALOR(R$)</t>
  </si>
  <si>
    <t>SUB-TOTAL</t>
  </si>
  <si>
    <t>VALOR DO PERÍODO</t>
  </si>
  <si>
    <t>VALOR ACUMULADO</t>
  </si>
  <si>
    <t>PERCENTUAL DO PERÍODO</t>
  </si>
  <si>
    <t>PERCENTUAL ACUMULADO</t>
  </si>
  <si>
    <t>PREFEITURA MUNICIPAL DE PRESIDENTE OLEGÁRIO - MG
Secretaria de Obras e Serviços Públicos</t>
  </si>
  <si>
    <t>COMPOSIÇÃO DO BDI (Bonificações e Despesas Indiretas)</t>
  </si>
  <si>
    <t>Obra: "Construção de Edifícios"</t>
  </si>
  <si>
    <t>BDI (CONFORME ACÓRDÃO Nº 2622/13 e LEI Nº 13.161 DE 31/08/15)</t>
  </si>
  <si>
    <t>DISCRIMINAÇÃO DAS PARCELAS</t>
  </si>
  <si>
    <r>
      <t xml:space="preserve">SIG.
</t>
    </r>
    <r>
      <rPr>
        <b/>
        <vertAlign val="superscript"/>
        <sz val="8"/>
        <color theme="0"/>
        <rFont val="Arial"/>
        <family val="2"/>
      </rPr>
      <t>(1)</t>
    </r>
  </si>
  <si>
    <t>CONSTRUÇÃO DE EDIFÍCIOS</t>
  </si>
  <si>
    <r>
      <t xml:space="preserve">INC.
</t>
    </r>
    <r>
      <rPr>
        <b/>
        <vertAlign val="superscript"/>
        <sz val="8"/>
        <color theme="0"/>
        <rFont val="Arial"/>
        <family val="2"/>
      </rPr>
      <t>(5)</t>
    </r>
  </si>
  <si>
    <r>
      <t xml:space="preserve">ISS </t>
    </r>
    <r>
      <rPr>
        <b/>
        <vertAlign val="superscript"/>
        <sz val="8"/>
        <color theme="0"/>
        <rFont val="Arial"/>
        <family val="2"/>
      </rPr>
      <t>(2)</t>
    </r>
  </si>
  <si>
    <t>DIFERENCIADO</t>
  </si>
  <si>
    <r>
      <t xml:space="preserve">MATERIAL
</t>
    </r>
    <r>
      <rPr>
        <b/>
        <vertAlign val="superscript"/>
        <sz val="8"/>
        <color theme="0"/>
        <rFont val="Arial"/>
        <family val="2"/>
      </rPr>
      <t>(3)</t>
    </r>
  </si>
  <si>
    <r>
      <t xml:space="preserve">SERVIÇO TERCEIRIZADO </t>
    </r>
    <r>
      <rPr>
        <b/>
        <vertAlign val="superscript"/>
        <sz val="8"/>
        <color theme="0"/>
        <rFont val="Arial"/>
        <family val="2"/>
      </rPr>
      <t xml:space="preserve">(4)
 </t>
    </r>
    <r>
      <rPr>
        <b/>
        <sz val="8"/>
        <color theme="0"/>
        <rFont val="Arial"/>
        <family val="2"/>
      </rPr>
      <t>(ISS=5%)</t>
    </r>
  </si>
  <si>
    <t>CUSTO DIRETO</t>
  </si>
  <si>
    <t>CD</t>
  </si>
  <si>
    <t>ADMINISTRAÇÃO CENTRAL</t>
  </si>
  <si>
    <t>AC</t>
  </si>
  <si>
    <t>LUCRO BRUTO</t>
  </si>
  <si>
    <t>L</t>
  </si>
  <si>
    <t>DESPESAS FINANCEIRAS</t>
  </si>
  <si>
    <t>DF</t>
  </si>
  <si>
    <t>SEGUROS, GARANTIAS E RISCO</t>
  </si>
  <si>
    <t>SEGUROS + GARANTIAS</t>
  </si>
  <si>
    <t>S</t>
  </si>
  <si>
    <t>RISCO(*)</t>
  </si>
  <si>
    <t>R</t>
  </si>
  <si>
    <t>TRIBUTOS</t>
  </si>
  <si>
    <t>I</t>
  </si>
  <si>
    <t>PV</t>
  </si>
  <si>
    <t>ISS</t>
  </si>
  <si>
    <r>
      <t>ISS</t>
    </r>
    <r>
      <rPr>
        <vertAlign val="superscript"/>
        <sz val="8"/>
        <rFont val="Arial"/>
        <family val="2"/>
      </rPr>
      <t>(2)</t>
    </r>
  </si>
  <si>
    <t>-</t>
  </si>
  <si>
    <t>PIS</t>
  </si>
  <si>
    <t>COFINS</t>
  </si>
  <si>
    <t>CPRB</t>
  </si>
  <si>
    <t>INSS</t>
  </si>
  <si>
    <t>FÓRMULA DO BDI</t>
  </si>
  <si>
    <t>(1 + (AC + S + G + R)) x (1 + DF) x  (1 + L)</t>
  </si>
  <si>
    <t>(1 - (I + CPRB))</t>
  </si>
  <si>
    <t>BDI (NUMERADOR)</t>
  </si>
  <si>
    <t>BDI (DENOMINADOR)</t>
  </si>
  <si>
    <t>BDI</t>
  </si>
  <si>
    <t>OBSERVAÇÕES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</si>
  <si>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SIGLA.</t>
    </r>
    <r>
      <rPr>
        <vertAlign val="superscript"/>
        <sz val="8"/>
        <rFont val="Arial"/>
        <family val="2"/>
      </rPr>
      <t xml:space="preserve">
(2) </t>
    </r>
    <r>
      <rPr>
        <sz val="8"/>
        <rFont val="Arial"/>
        <family val="2"/>
      </rPr>
      <t xml:space="preserve">QUANTO AO ISS O TCU ORIENTA OBSERVAR A LEGISLAÇÃO DO MUNICÍPIO. NO REFERIDO ACÓRDÃO O TCU PARTIU DA PREMISSA DE INCIDÊNCIA DO ISS EM 50% DO PREÇO DE VENDA, COM PERCENTUAIS DE 2%, 3%, 4% E 5%.
</t>
    </r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 xml:space="preserve">BDI DIFERENCIADO A SER APLICADO EM CASOS DE FORNECIMENTO DE MATERIAIS E EQUIPAMENTOS. EX. ELEVADOR, ESCADAS ROLANTES, EQUIPAMENTOS DE REFRIGERAÇÃO ETC.
</t>
    </r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 xml:space="preserve">BDI DIFERENCIADO A SER APLICADO PARA SERVIÇOS TERCEIRIZADOS.
</t>
    </r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INCIDÊNCIA.</t>
    </r>
  </si>
  <si>
    <t>Observação:</t>
  </si>
  <si>
    <r>
      <t xml:space="preserve">Para o tipo de obra </t>
    </r>
    <r>
      <rPr>
        <b/>
        <i/>
        <sz val="11"/>
        <rFont val="Arial"/>
        <family val="2"/>
      </rPr>
      <t>“Construção de Edifícios”</t>
    </r>
    <r>
      <rPr>
        <i/>
        <sz val="11"/>
        <rFont val="Arial"/>
        <family val="2"/>
      </rPr>
      <t xml:space="preserve"> enquadram-se: a construção e reforma de: edifícios, unidades habitacionais, escolas, hospitais, hotéis, restaurantes, armazéns e depósitos, edifícios para uso agropecuário, estações para trens e metropolitanos, estádios esportivos e quadras cobertas, instalações para embarque e desembarque de passageiros (em aeroportos, rodoviárias, portos, etc.), penitenciárias e presídios, a construção de edifícios industriais (fábricas, oficinas, galpões industriais, etc.), conforme classificação 4120-4 do CNAE 2.0. Também enquadram-se pórticos, mirantes e outros edifícios de finalidade turística.</t>
    </r>
  </si>
  <si>
    <t>DEMOLIÇÕES</t>
  </si>
  <si>
    <t>2.2</t>
  </si>
  <si>
    <t>2.3</t>
  </si>
  <si>
    <t>UN</t>
  </si>
  <si>
    <t>OBRA: Implantação de Projeto de Segurança Contra Incêndio e Pânico no Paiolão do Parque de Exposições Antônio Secundino de São José</t>
  </si>
  <si>
    <t>LOCAL: Localizado na Rua Severino Mendes, nº995, Bairro Planalto, no município de Presidente Olegário - MG</t>
  </si>
  <si>
    <t xml:space="preserve">PSCIP - PAIOLÃO </t>
  </si>
  <si>
    <t>ACESSO DE VIATURAS</t>
  </si>
  <si>
    <t>SAÍDA DE EMERGÊNCIA</t>
  </si>
  <si>
    <t>ILUMINAÇÃO DE EMERGÊNCIA</t>
  </si>
  <si>
    <t>SINALIZAÇÃO DE EMERGÊNCIA</t>
  </si>
  <si>
    <t>EXTINTORES</t>
  </si>
  <si>
    <t>CONTROLE DE FUMAÇA</t>
  </si>
  <si>
    <t>ED-50202</t>
  </si>
  <si>
    <t>PLACA FOTOLUMINESCENTE PARA SINALIZAÇÃO DE
EMERGÊNCIA, TIPO "S1", DIMENSÃO (380X190)MM, INCLUSIVE
FIXAÇÃO</t>
  </si>
  <si>
    <t>ED-50201</t>
  </si>
  <si>
    <t>PLACA FOTOLUMINESCENTE PARA SINALIZAÇÃO DE
EMERGÊNCIA, TIPO "S2", DIMENSÃO (380X190)MM, INCLUSIVE
FIXAÇÃO</t>
  </si>
  <si>
    <t>ED-50205</t>
  </si>
  <si>
    <t>PLACA FOTOLUMINESCENTE PARA SINALIZAÇÃO DE
EMERGÊNCIA, TIPO "S12", DIMENSÃO (380X190)MM, INCLUSIVE
FIXAÇÃO</t>
  </si>
  <si>
    <t>PLACA FOTOLUMINESCENTE PARA SINALIZAÇÃO DE
EMERGÊNCIA, TIPO "M1", DIMENSÃO (400X600)MM, INCLUSIVE
FIXAÇÃO</t>
  </si>
  <si>
    <t>ED-32247</t>
  </si>
  <si>
    <t>PLACA FOTOLUMINESCENTE PARA SINALIZAÇÃO DE
EMERGÊNCIA, TIPO "M2", DIMENSÃO (380X190)MM, INCLUSIVE
FIXAÇÃO</t>
  </si>
  <si>
    <t>PLACA FOTOLUMINESCENTE PARA SINALIZAÇÃO DE
EMERGÊNCIA, TIPO "E5", DIMENSÃO (150X150)MM, INCLUSIVE
FIXAÇÃO</t>
  </si>
  <si>
    <t>ED-50574</t>
  </si>
  <si>
    <t>ED-26989</t>
  </si>
  <si>
    <t>ED-17906</t>
  </si>
  <si>
    <t>PONTO DE SOBREPOR PARA UMA (1) TOMADA PADRÃO, TRÊS (3) POLOS (2P+T/10A-250V), COM PLACA 4"X2" DE UM (1) POSTO, COM ELETRODUTO DE AÇO GALVANIZADO, CLASSE LEVE, DN 20MM (3/4"), FIXADO NA ALVENARIA/TETO E CABO DE COBRE FLEXÍVEL, CLASSE 5, ISOLAMENTO TIPO LSHF/ATOX, NÃO HALOGENADO, SEÇÃO 2,5MM2 (70°C-450/750V), COM DISTÂNCIA DE ATÉ DEZ (10) METROS DO PONTO DE DERIVAÇÃO, INCLUSIVE FORNECIMENTO, INSTALAÇÃO, CONDULETE EM ALUMÍNIO, CONEXÕES, SUPORTE E FIXAÇÃO DO ELETRODUTO</t>
  </si>
  <si>
    <t>ED-31997</t>
  </si>
  <si>
    <t>EXTINTOR DE INCÊNDIO TIPO PÓ QUÍMICO 3-A:40-B:C, CAPACIDADE 6 KG</t>
  </si>
  <si>
    <t>5.5</t>
  </si>
  <si>
    <t>2.4</t>
  </si>
  <si>
    <t>2.5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</si>
  <si>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</si>
  <si>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</si>
  <si>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</si>
  <si>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</si>
  <si>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</si>
  <si>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</si>
  <si>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</si>
  <si>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</si>
  <si>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</si>
  <si>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5.3</t>
  </si>
  <si>
    <t>5.4</t>
  </si>
  <si>
    <t>5.6</t>
  </si>
  <si>
    <t>7.2</t>
  </si>
  <si>
    <t>CORRIMÃO INTERMEDIÁRIO SIMPLES EM TUBO GALVANIZADO, COM COSTURA, CLASSE LEVE (NBR-5580), DIÂMETRO 1.1/2", ESP. 3MM, FIXADO EM PISO COM MONTANTE VERTICAL, DIÂMETRO 1.1/2", INCLUSIVE SUPORTE PARA CORRIMÃO EM BARRA CHATA (1"X1 /2"), EXCLUSIVE PINTURA</t>
  </si>
  <si>
    <t>LUMINÁRIA DE EMERGÊNCIA AUTÔNOMA, TIPO LED POTÊNCIA TOTAL DE 2W, FORNECIMENTO E INSTALAÇÃO</t>
  </si>
  <si>
    <t>Comprimento do degrau da escada * Qte de degraus = 1,20 m * 6 = 7,20 metros</t>
  </si>
  <si>
    <t>Medida extraída do projeto = 11,20 metros</t>
  </si>
  <si>
    <t>4 unidades (Próximo nas Saídas de Emergência) + 1 unidade (Centro da área de Dança) +  1 unidade (Banheiro da Cozinha) + 1 unidade (próximo ao Bar) + 1 unidade (no palco) + 1 unidade (na Entrada do Paiolão) + 1 unidade (Próxima ao banheiro Masculino) + 1 unidade (Próxima à saída de emergência com rampa) + 1 unidade (Na parede externa do DML) = 12 unidades</t>
  </si>
  <si>
    <t>Exaustão de fumaça - Teto</t>
  </si>
  <si>
    <t>Entrada de ar - Parede</t>
  </si>
  <si>
    <t>ED-9903</t>
  </si>
  <si>
    <t>VERGA OU CONTRAVERGA EM CONCRETO ESTRUTURAL PARA VÃOS DE ATÉ 150CM, PREPARADO EM OBRA COM BETONEIRA, CONTROLE "A", COM FCK 20 MPA, MOLDADA IN LOCO, INCLUSIVE ARMAÇÃO</t>
  </si>
  <si>
    <t>Medidas da verga sobre os vãos da veneziana = 1,40 m (comprimento) x 0,10 m (altura) x 0,15 m (largura) =  0,02 m³</t>
  </si>
  <si>
    <t>7.1.1</t>
  </si>
  <si>
    <t>7.1.2</t>
  </si>
  <si>
    <t>7.1.3</t>
  </si>
  <si>
    <t>7.1.4</t>
  </si>
  <si>
    <t>M3xKM</t>
  </si>
  <si>
    <t>7.1.5</t>
  </si>
  <si>
    <t>7.1.6</t>
  </si>
  <si>
    <t>SINAPI</t>
  </si>
  <si>
    <t>REQUADRO DE VÃO  100 X 100 CM PARA INSTALAÇÃO DE VENEZIANAS</t>
  </si>
  <si>
    <t>INSTALAÇÃO DE VENEZIANA JUNTO AO PISO, MEDIDAS DE 100 X 100 CM, PARA ENTRADA DE AR.</t>
  </si>
  <si>
    <t>102191</t>
  </si>
  <si>
    <t xml:space="preserve">REMOÇÃO DE VIDRO LISO COMUM DE ESQUADRIA COM BAGUETE DE ALUMÍNIO OU PVC. </t>
  </si>
  <si>
    <t>ED-50982</t>
  </si>
  <si>
    <t>Remoção de porta de vidro do camarim = 2,00 m (Largura) x 2,10 m (Altura) = 4,20 m²</t>
  </si>
  <si>
    <t>ED-50701</t>
  </si>
  <si>
    <t>ED-8143</t>
  </si>
  <si>
    <t>ED-51123</t>
  </si>
  <si>
    <t>REGULARIZAÇÃO MANUAL E COMPACTAÇÃO MECANIZADA DE TERRENO COM PLACA VIBRATÓRIA, EXCLUSIVE DESMATAMENTO, DESTOCAMENTO, LIMPEZA/ROÇADA DO TERRENO</t>
  </si>
  <si>
    <t>RASTELAMENTO DE ÁREA COM AFASTAMENTO DE ATÉ VINTE (20) METROS, EXCLUSIVE CAPINA OU ROÇADA MANUAL</t>
  </si>
  <si>
    <t>CAPINA MANUAL DO TERRENO, EXCLUSIVE RASTELAMENTO E QUEIMA</t>
  </si>
  <si>
    <t>2.6</t>
  </si>
  <si>
    <t>2.7</t>
  </si>
  <si>
    <t>Área de Capina = 3,40 m x 5,00 m (Passeio) +  7,00 m x 7,00 m (Área interna) = 66 m²</t>
  </si>
  <si>
    <t>Área de Rastelamento= 3,40 m x 5,00 m (Passeio) +  7,00 m x 7,00 m (Área interna) = 66 m²</t>
  </si>
  <si>
    <t>Área = 3,40 m x 5,00 m (Passeio) +  7,00 m x 7,00 m (Área interna) = 66 m²</t>
  </si>
  <si>
    <t>Portão de Acesso das Viaturas : 5,00  (Comprimento ) x 2,80 m (Altura) = 14 m²</t>
  </si>
  <si>
    <t>ED-50491</t>
  </si>
  <si>
    <t>2.8</t>
  </si>
  <si>
    <t>ED-50842</t>
  </si>
  <si>
    <t>PILAR EM CONCRETO APARENTE 20 MPa, INCLUSIVE ARMAÇÃO, FÔRMA PLASTIFICADA E DESFORMA</t>
  </si>
  <si>
    <t>2.9</t>
  </si>
  <si>
    <t>ED-50451</t>
  </si>
  <si>
    <t>PINTURA ACRÍLICA EM PAREDE, DUAS (2) DEMÃOS, EXCLUSIVE SELADOR ACRÍLICO E MASSA ACRÍLICA/CORRIDA (PVA)</t>
  </si>
  <si>
    <t>Medidas de parede para pintura : 0,15 m (Largura) x 4 m (comprimento) x 6 unidades + 0,40 m x 4 m x 6 unidades = 13,20 m</t>
  </si>
  <si>
    <t>6 unidades de requadro 100 cm x 100 cm</t>
  </si>
  <si>
    <t>2.10</t>
  </si>
  <si>
    <t>ED-50496</t>
  </si>
  <si>
    <t>PINTURA ESMALTE EM TUBO GALVANIZADO, DUAS (2) DEMÃOS, INCLUSIVE UMA (1) DEMÃO DE FUNDO ANTICORROSIVO</t>
  </si>
  <si>
    <t>Kg</t>
  </si>
  <si>
    <t>ED-49786</t>
  </si>
  <si>
    <t>FORNECIMENTO DE CONCRETO ESTRUTURAL, PREPARADO EM OBRA COM BETONEIRA, COM FCK 20MPA, INCLUSIVE LANÇAMENTO, ADENSAMENTO E ACABAMENTO (FUNDAÇÃO)</t>
  </si>
  <si>
    <t>PORTÃO EM CHAPA DE AÇO GALVANIZADO, TIPO LAMBRIL, ESP. 1, 25MM (GSG-18), EXCLUSIVE CADEADO E PINTURA</t>
  </si>
  <si>
    <t>PINTURA ESMALTE EM ESQUADRIAS DE FERRO, DUAS (2) DEMÃOS, INCLUSIVE UMA (1) DEMÃO DE FUNDO ANTICORROSIVO</t>
  </si>
  <si>
    <t>2.11</t>
  </si>
  <si>
    <t>2.12</t>
  </si>
  <si>
    <t>2.13</t>
  </si>
  <si>
    <t>CCU2/SETOP</t>
  </si>
  <si>
    <t>ESCAVAÇÃO MANUAL DE TERRA (DESATERRO MANUAL), INCLUSIVE DESCARGA LATERAL, EXCLUSIVE RETIRADA E TRANSPORTE DO MATERIAL ESCAVADO</t>
  </si>
  <si>
    <t>4 barras x 5,24 m de comprimento x 0,395 kg/m = 8,28 Kg</t>
  </si>
  <si>
    <t>ED-51093</t>
  </si>
  <si>
    <t>APILOAMENTO MANUAL EM FUNDO DE VALA COM SOQUETE, EXCLUSIVE ESCAVAÇÃO</t>
  </si>
  <si>
    <t>2.14</t>
  </si>
  <si>
    <t xml:space="preserve">Medidas: 5,00 comprimento x 0,20 m (largura) = 1,00 m </t>
  </si>
  <si>
    <t>CCU3/SETOP</t>
  </si>
  <si>
    <t>99837</t>
  </si>
  <si>
    <t>GUARDA-CORPO DE AÇO GALVANIZADO DE 1,10M, MONTANTES TUBULARES DE 1.1/4 M ESPAÇADOS DE 1,20M, TRAVESSA SUPERIOR DE 1.1/2, GRADIL FORMADO POR TUBOS HORIZONTAIS DE 1 E VERTICAIS DE 3/4, FIXADO COM CHUMBADOR MECÂNICO. AF_04/2019_PS</t>
  </si>
  <si>
    <t>99857</t>
  </si>
  <si>
    <t xml:space="preserve">CORRIMÃO SIMPLES, DIÂMETRO EXTERNO = 1 1/2, EM ALUMÍNIO. AF_04/2019_P </t>
  </si>
  <si>
    <t>CCU4/SETOP</t>
  </si>
  <si>
    <t>APLICAÇÃO DE FAIXA/FITA ADESIVA ANTIDERRAPANTE, LARGURA 50MM, EM DEGRAUS DE ESCADA, INCLUSIVE FORNECIMENTO</t>
  </si>
  <si>
    <t>DEMOLIÇÃO DE ALVENARIA DE BLOCO FURADO, DE FORMA MANUAL, SEM REAPROVEITAMENTO. AF_09/2023</t>
  </si>
  <si>
    <t>TRANSPORTE COM CAMINHÃO BASCULANTE DE 10 M³, EM VIA URBANA PAVIMENTADA, DMT ATÉ 30 KM (UNIDADE: M3XKM). AF_07/2020</t>
  </si>
  <si>
    <t>ARMAÇÃO DE SAPATA ISOLADA, VIGA BALDRAME E SAPATA CORRIDA UTILIZANDO AÇO CA-50 DE 8 MM - MONTAGEM. AF_01/2024</t>
  </si>
  <si>
    <t>ARMAÇÃO DE SAPATA ISOLADA, VIGA BALDRAME E SAPATA CORRIDA UTILIZANDO AÇO CA-50 DE 6,3 MM - MONTAGEM. AF_01/2024</t>
  </si>
  <si>
    <t>EXECUÇÃO DE PASSEIO (CALÇADA) OU PISO DE CONCRETO COM CONCRETO MOLDADO IN LOCO, FEITO EM OBRA, ACABAMENTO CONVENCIONAL, NÃO ARMADO. AF_08/20 22</t>
  </si>
  <si>
    <t>Área = 3,40 m x 5,00 m (Passeio) +  7,00 m x 7,00 m (Área interna) = 66 m² x 0,08 m (espessura) = 5,28 m³</t>
  </si>
  <si>
    <t>CCU5/SINAPI</t>
  </si>
  <si>
    <t>CCU1/SINAPI</t>
  </si>
  <si>
    <t>25 barras de 0,80 m de comprimento x 0,245 kg/m = 6,17 Kg</t>
  </si>
  <si>
    <t>5,00 m de comprimento x 0,20 x largura x 0,25 m (altura) = 0,25 m²</t>
  </si>
  <si>
    <t>Medida extraída do projeto = 1,60 m(Escada)+ 4,12 m + 15,11 m + 1,47 m + 11,60 m (Rampa 1) + 6,00 m + 6,00 m (Rampa 2)</t>
  </si>
  <si>
    <t>PORTA DE VIDRO TEMPERADO 10 MM, DE ABRIR, DUAS FOLHAS, 100 CM CADA (LARGURA), 210 CM (ALTURA), INCLUSO ADESIVO BLACKOUT, BARRA ANTIPÂNICO, DOBRADIÇA INOX E INSTALAÇÃO</t>
  </si>
  <si>
    <t>1 Porta</t>
  </si>
  <si>
    <t>Portão de Acesso das Viaturas : 5,00  (Comprimento ) x 2,80 m (Altura) = 14 m² x 2 Lados = 28 m²</t>
  </si>
  <si>
    <t>Medidas da viga baldrame: 5,00 m x 0,20 x 0,25 m = 0,25 m³</t>
  </si>
  <si>
    <t>Corrimão Simples: (45,91 m) + Corrimão Intermediário (11,20 m) + Guarda Corpo: Travessa Sup. (45,91 m) + Travessa Horiz. (45,91 m) + Mont. Vert. (34 peças x 1,10 altura) + Trav. Vertical (0,81x 300 peças) = 429,33 m</t>
  </si>
  <si>
    <t>Área de Parede (A X L) * Largura da Parede + Verga  = (1,00 m x 1,00) * 0,15 m + (0,10 m*0,15 m*1,40 m) = 0,17 m³</t>
  </si>
  <si>
    <t>6 Placas de Indicação de Sentido de Fuga</t>
  </si>
  <si>
    <t>4 Placas com Indicação da Saída de Emergência</t>
  </si>
  <si>
    <t>6 Placas de Localização dos Extintores</t>
  </si>
  <si>
    <t>1 Placa com Indicação dos Sistemas de Proteção Contra Incêndio existentes na edificação</t>
  </si>
  <si>
    <t>1 Placa com Indicação de Lotação Máxima</t>
  </si>
  <si>
    <t>6 unidades (Conforme Projeto)</t>
  </si>
  <si>
    <t>7.2.1</t>
  </si>
  <si>
    <t>ED-50505</t>
  </si>
  <si>
    <t>LIXAMENTO MANUAL EM PAREDE PARA REMOÇÃO DE TINTA</t>
  </si>
  <si>
    <t>7.1.7</t>
  </si>
  <si>
    <t>Medidas de parede para lixamento: 0,15 m (Largura) x 4 m (comprimento) x 6 unidades + 0,40 m x 4 m x 6 unidades = 13,20 m</t>
  </si>
  <si>
    <t>Área de Parede (A X L) * Largura da Parede + Verga   * Distancia  = (1,0 m x 1,00) * 0,15 m + (0,10 m*0,15 m*1,40 m) * 4,4 = 0,82 m³</t>
  </si>
  <si>
    <t>Área de alvenaria à ser demolida * largura da parede *  distancia = 2,82 m (altura) x 5,00 m (largura) x 0,20 m (espessura) x 4,4 km = 13,54 m²</t>
  </si>
  <si>
    <t>Área de alvenaria à ser demolida * largura da parede = 2,82 m (altura) x 5,50 m (largura) x 0,20 m (espessura) = 2,82 m²</t>
  </si>
  <si>
    <t>CCU6/SINAPI</t>
  </si>
  <si>
    <t>6 unidades  (Conforme projeto)</t>
  </si>
  <si>
    <t>CCU7/SINAPI</t>
  </si>
  <si>
    <t>ED-51110</t>
  </si>
  <si>
    <r>
      <t xml:space="preserve">REGIÃO/MÊS DE REFERÊNCIA: SEINFRA Região Triângulo e Alto Paranaíba / JANEIRO 2024 </t>
    </r>
    <r>
      <rPr>
        <b/>
        <sz val="11"/>
        <color indexed="8"/>
        <rFont val="Calibri"/>
        <family val="2"/>
      </rPr>
      <t xml:space="preserve">_ </t>
    </r>
    <r>
      <rPr>
        <b/>
        <sz val="11"/>
        <rFont val="Calibri"/>
        <family val="2"/>
      </rPr>
      <t>Preço de Custo com Desoneração  e SINAPI MG/MARÇO_2024_Com Desoneração</t>
    </r>
  </si>
  <si>
    <t>Dimensões para pilar: 2,90 m (Altura) x 0,20 m x 0,25 m (Seção) = 0,14m³</t>
  </si>
  <si>
    <t>Medida extraída do projeto = 1,60 m + 1,05 m (Escada)+ 4,12 m + 15,11 m + 1,47 m + 11,60 m (Rampa 1) + 6,00 m + 6,00 m (Rampa 2)</t>
  </si>
  <si>
    <t>INSTALAÇÃO DE VENEZIANA PARA EXAUSTÃO DE FUMAÇA, INSTALADO NO TETO, (MEDIDAS DE 1,00 M X 1,00 M), COM RUFO E ENCAIXES, INCLUSIVE PINTURA.</t>
  </si>
  <si>
    <t xml:space="preserve">Área da edificação: 1100,67 m² </t>
  </si>
  <si>
    <t xml:space="preserve">01 placa </t>
  </si>
  <si>
    <t>LIMPEZA DE SUPERFÍCIE COM JATO DE ALTA PRESSÃO. AF_04/2019</t>
  </si>
  <si>
    <t>99814</t>
  </si>
  <si>
    <t>1ª Etapa (15 dias)</t>
  </si>
  <si>
    <t>2ª Etapa (15 dias)</t>
  </si>
  <si>
    <t>3ª Etapa (15 dias)</t>
  </si>
  <si>
    <r>
      <t>PRAZO DE EXECUÇÃO: 45</t>
    </r>
    <r>
      <rPr>
        <b/>
        <sz val="11"/>
        <color indexed="8"/>
        <rFont val="Calibri"/>
        <family val="2"/>
      </rPr>
      <t xml:space="preserve"> dias</t>
    </r>
  </si>
  <si>
    <t>_____________________________</t>
  </si>
  <si>
    <t>Empresa</t>
  </si>
  <si>
    <t>CNPJ</t>
  </si>
  <si>
    <t>Local 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</si>
</sst>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6" formatCode="0.000%"/>
    <numFmt numFmtId="167" formatCode="&quot;R$&quot;\ #,##0.00"/>
    <numFmt numFmtId="168" formatCode="0.000000000%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3"/>
      <color rgb="FFC00000"/>
      <name val="Arial"/>
      <family val="2"/>
    </font>
    <font>
      <sz val="13"/>
      <color indexed="8"/>
      <name val="Arial"/>
      <family val="2"/>
    </font>
    <font>
      <b/>
      <sz val="14"/>
      <color rgb="FFC00000"/>
      <name val="Arial"/>
      <family val="2"/>
    </font>
    <font>
      <sz val="14"/>
      <color indexed="8"/>
      <name val="Arial"/>
      <family val="2"/>
    </font>
    <font>
      <b/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b/>
      <sz val="13"/>
      <color indexed="8"/>
      <name val="Calibri"/>
      <family val="2"/>
      <scheme val="minor"/>
    </font>
    <font>
      <sz val="10"/>
      <name val="Arial"/>
      <family val="2"/>
    </font>
    <font>
      <sz val="12"/>
      <name val="Arial Black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vertAlign val="superscript"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auto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auto="1"/>
      </bottom>
      <diagonal/>
    </border>
    <border>
      <left/>
      <right style="hair">
        <color theme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theme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theme="1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/>
      <diagonal/>
    </border>
    <border>
      <left style="hair">
        <color theme="1"/>
      </left>
      <right style="medium">
        <color indexed="64"/>
      </right>
      <top/>
      <bottom/>
      <diagonal/>
    </border>
    <border>
      <left style="hair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1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0" fillId="0" borderId="0"/>
    <xf numFmtId="43" fontId="51" fillId="0" borderId="0" applyFont="0" applyFill="0" applyBorder="0" applyAlignment="0" applyProtection="0"/>
    <xf numFmtId="0" fontId="53" fillId="0" borderId="0"/>
    <xf numFmtId="0" fontId="9" fillId="0" borderId="0"/>
    <xf numFmtId="43" fontId="15" fillId="0" borderId="0" applyFont="0" applyFill="0" applyBorder="0" applyAlignment="0" applyProtection="0"/>
    <xf numFmtId="0" fontId="9" fillId="0" borderId="0"/>
    <xf numFmtId="43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1" fillId="0" borderId="0"/>
    <xf numFmtId="9" fontId="51" fillId="0" borderId="0"/>
  </cellStyleXfs>
  <cellXfs count="524">
    <xf numFmtId="0" fontId="0" fillId="0" borderId="0" xfId="0"/>
    <xf numFmtId="0" fontId="11" fillId="0" borderId="0" xfId="0" applyFont="1" applyAlignment="1">
      <alignment horizontal="justify" vertical="distributed"/>
    </xf>
    <xf numFmtId="0" fontId="23" fillId="0" borderId="2" xfId="0" applyFont="1" applyBorder="1" applyAlignment="1">
      <alignment horizontal="justify" vertical="distributed"/>
    </xf>
    <xf numFmtId="4" fontId="12" fillId="0" borderId="0" xfId="0" applyNumberFormat="1" applyFont="1" applyAlignment="1">
      <alignment horizontal="justify" vertical="distributed" wrapText="1"/>
    </xf>
    <xf numFmtId="0" fontId="24" fillId="0" borderId="4" xfId="0" applyFont="1" applyBorder="1" applyAlignment="1">
      <alignment horizontal="justify" vertical="distributed"/>
    </xf>
    <xf numFmtId="0" fontId="24" fillId="0" borderId="5" xfId="0" applyFont="1" applyBorder="1" applyAlignment="1">
      <alignment horizontal="justify" vertical="distributed"/>
    </xf>
    <xf numFmtId="0" fontId="25" fillId="0" borderId="0" xfId="0" applyFont="1" applyAlignment="1">
      <alignment horizontal="justify" vertical="distributed"/>
    </xf>
    <xf numFmtId="0" fontId="25" fillId="0" borderId="0" xfId="0" applyFont="1" applyAlignment="1">
      <alignment vertical="distributed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distributed"/>
    </xf>
    <xf numFmtId="0" fontId="24" fillId="0" borderId="0" xfId="0" applyFont="1" applyAlignment="1">
      <alignment horizontal="justify" vertical="distributed"/>
    </xf>
    <xf numFmtId="0" fontId="23" fillId="0" borderId="0" xfId="0" applyFont="1" applyAlignment="1">
      <alignment horizontal="justify" vertical="distributed"/>
    </xf>
    <xf numFmtId="0" fontId="21" fillId="0" borderId="0" xfId="1"/>
    <xf numFmtId="0" fontId="21" fillId="2" borderId="2" xfId="1" applyFill="1" applyBorder="1" applyAlignment="1">
      <alignment horizontal="center"/>
    </xf>
    <xf numFmtId="0" fontId="21" fillId="2" borderId="4" xfId="1" applyFill="1" applyBorder="1" applyAlignment="1">
      <alignment horizontal="center"/>
    </xf>
    <xf numFmtId="0" fontId="21" fillId="2" borderId="5" xfId="1" applyFill="1" applyBorder="1"/>
    <xf numFmtId="0" fontId="21" fillId="2" borderId="6" xfId="1" applyFill="1" applyBorder="1"/>
    <xf numFmtId="0" fontId="18" fillId="0" borderId="0" xfId="1" applyFont="1" applyAlignment="1">
      <alignment horizontal="center"/>
    </xf>
    <xf numFmtId="0" fontId="18" fillId="0" borderId="0" xfId="1" applyFont="1"/>
    <xf numFmtId="0" fontId="20" fillId="0" borderId="0" xfId="1" applyFont="1"/>
    <xf numFmtId="164" fontId="20" fillId="0" borderId="14" xfId="3" applyFont="1" applyBorder="1"/>
    <xf numFmtId="0" fontId="20" fillId="2" borderId="35" xfId="1" applyFont="1" applyFill="1" applyBorder="1" applyAlignment="1">
      <alignment vertical="top"/>
    </xf>
    <xf numFmtId="164" fontId="19" fillId="0" borderId="23" xfId="3" applyFont="1" applyBorder="1"/>
    <xf numFmtId="0" fontId="20" fillId="2" borderId="31" xfId="1" applyFont="1" applyFill="1" applyBorder="1" applyAlignment="1">
      <alignment vertical="top"/>
    </xf>
    <xf numFmtId="164" fontId="19" fillId="0" borderId="14" xfId="2" applyNumberFormat="1" applyFont="1" applyBorder="1"/>
    <xf numFmtId="164" fontId="19" fillId="0" borderId="34" xfId="3" applyFont="1" applyBorder="1"/>
    <xf numFmtId="10" fontId="19" fillId="0" borderId="14" xfId="2" applyNumberFormat="1" applyFont="1" applyBorder="1"/>
    <xf numFmtId="10" fontId="19" fillId="0" borderId="34" xfId="3" applyNumberFormat="1" applyFont="1" applyBorder="1"/>
    <xf numFmtId="0" fontId="21" fillId="0" borderId="0" xfId="1" applyAlignment="1">
      <alignment horizontal="center" vertical="top"/>
    </xf>
    <xf numFmtId="0" fontId="21" fillId="0" borderId="0" xfId="1" applyAlignment="1">
      <alignment wrapText="1"/>
    </xf>
    <xf numFmtId="0" fontId="10" fillId="0" borderId="0" xfId="4"/>
    <xf numFmtId="0" fontId="17" fillId="0" borderId="0" xfId="4" applyFont="1"/>
    <xf numFmtId="0" fontId="16" fillId="2" borderId="28" xfId="1" applyFont="1" applyFill="1" applyBorder="1"/>
    <xf numFmtId="0" fontId="33" fillId="0" borderId="0" xfId="4" applyFont="1"/>
    <xf numFmtId="0" fontId="35" fillId="3" borderId="10" xfId="0" applyFont="1" applyFill="1" applyBorder="1" applyAlignment="1">
      <alignment horizontal="center" vertical="center"/>
    </xf>
    <xf numFmtId="0" fontId="36" fillId="0" borderId="0" xfId="0" applyFont="1" applyAlignment="1">
      <alignment horizontal="justify" vertical="distributed"/>
    </xf>
    <xf numFmtId="0" fontId="37" fillId="0" borderId="2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justify" vertical="distributed"/>
    </xf>
    <xf numFmtId="0" fontId="38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justify" vertical="distributed"/>
    </xf>
    <xf numFmtId="0" fontId="17" fillId="0" borderId="2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8" fillId="2" borderId="2" xfId="1" applyFont="1" applyFill="1" applyBorder="1" applyAlignment="1">
      <alignment horizontal="center" vertical="top" wrapText="1"/>
    </xf>
    <xf numFmtId="0" fontId="18" fillId="2" borderId="3" xfId="1" applyFont="1" applyFill="1" applyBorder="1" applyAlignment="1">
      <alignment horizontal="center" vertical="top" wrapText="1"/>
    </xf>
    <xf numFmtId="0" fontId="32" fillId="0" borderId="24" xfId="0" applyFont="1" applyBorder="1" applyAlignment="1">
      <alignment vertical="center" wrapText="1"/>
    </xf>
    <xf numFmtId="0" fontId="35" fillId="3" borderId="10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horizontal="left" vertical="center" wrapText="1"/>
    </xf>
    <xf numFmtId="2" fontId="37" fillId="0" borderId="14" xfId="0" applyNumberFormat="1" applyFont="1" applyBorder="1" applyAlignment="1">
      <alignment horizontal="center" vertical="center" wrapText="1"/>
    </xf>
    <xf numFmtId="0" fontId="38" fillId="4" borderId="0" xfId="0" applyFont="1" applyFill="1" applyAlignment="1">
      <alignment horizontal="justify" vertical="distributed"/>
    </xf>
    <xf numFmtId="0" fontId="36" fillId="4" borderId="0" xfId="0" applyFont="1" applyFill="1" applyAlignment="1">
      <alignment horizontal="justify" vertical="distributed"/>
    </xf>
    <xf numFmtId="0" fontId="37" fillId="0" borderId="14" xfId="0" applyFont="1" applyBorder="1" applyAlignment="1">
      <alignment vertical="center" wrapText="1"/>
    </xf>
    <xf numFmtId="0" fontId="24" fillId="0" borderId="0" xfId="0" applyFont="1" applyAlignment="1">
      <alignment horizontal="center" vertical="distributed"/>
    </xf>
    <xf numFmtId="0" fontId="23" fillId="0" borderId="0" xfId="0" applyFont="1" applyAlignment="1">
      <alignment horizontal="center" vertical="distributed"/>
    </xf>
    <xf numFmtId="0" fontId="11" fillId="0" borderId="0" xfId="0" applyFont="1" applyAlignment="1">
      <alignment horizontal="center" vertical="distributed"/>
    </xf>
    <xf numFmtId="0" fontId="0" fillId="0" borderId="25" xfId="0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4" fontId="35" fillId="0" borderId="20" xfId="0" applyNumberFormat="1" applyFont="1" applyBorder="1" applyAlignment="1">
      <alignment horizontal="right" vertical="center"/>
    </xf>
    <xf numFmtId="10" fontId="35" fillId="0" borderId="21" xfId="0" applyNumberFormat="1" applyFont="1" applyBorder="1" applyAlignment="1">
      <alignment horizontal="center" vertical="center"/>
    </xf>
    <xf numFmtId="10" fontId="35" fillId="0" borderId="20" xfId="0" applyNumberFormat="1" applyFont="1" applyBorder="1" applyAlignment="1">
      <alignment horizontal="right" vertical="center"/>
    </xf>
    <xf numFmtId="0" fontId="37" fillId="0" borderId="15" xfId="0" applyFont="1" applyBorder="1" applyAlignment="1">
      <alignment horizontal="left" vertical="center" wrapText="1"/>
    </xf>
    <xf numFmtId="43" fontId="18" fillId="0" borderId="0" xfId="1" applyNumberFormat="1" applyFont="1" applyAlignment="1">
      <alignment horizontal="center"/>
    </xf>
    <xf numFmtId="2" fontId="37" fillId="0" borderId="15" xfId="0" applyNumberFormat="1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distributed"/>
    </xf>
    <xf numFmtId="0" fontId="23" fillId="0" borderId="3" xfId="0" applyFont="1" applyBorder="1" applyAlignment="1">
      <alignment horizontal="center" vertical="distributed"/>
    </xf>
    <xf numFmtId="0" fontId="24" fillId="0" borderId="6" xfId="0" applyFont="1" applyBorder="1" applyAlignment="1">
      <alignment horizontal="center" vertical="distributed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8" fillId="0" borderId="0" xfId="0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22" fillId="0" borderId="2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justify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4" fontId="23" fillId="0" borderId="3" xfId="0" applyNumberFormat="1" applyFont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4" fontId="12" fillId="0" borderId="0" xfId="0" applyNumberFormat="1" applyFont="1" applyAlignment="1">
      <alignment horizontal="justify" vertical="center" wrapText="1"/>
    </xf>
    <xf numFmtId="0" fontId="23" fillId="0" borderId="3" xfId="0" applyFont="1" applyBorder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justify" vertical="center"/>
    </xf>
    <xf numFmtId="0" fontId="24" fillId="0" borderId="6" xfId="0" applyFont="1" applyBorder="1" applyAlignment="1">
      <alignment horizontal="right"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7" fillId="0" borderId="33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/>
    </xf>
    <xf numFmtId="4" fontId="37" fillId="0" borderId="34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9" fontId="57" fillId="6" borderId="53" xfId="13" applyNumberFormat="1" applyFont="1" applyFill="1" applyBorder="1" applyAlignment="1">
      <alignment horizontal="center" vertical="center" wrapText="1"/>
    </xf>
    <xf numFmtId="0" fontId="57" fillId="6" borderId="53" xfId="13" applyFont="1" applyFill="1" applyBorder="1" applyAlignment="1">
      <alignment horizontal="center" vertical="center" wrapText="1"/>
    </xf>
    <xf numFmtId="10" fontId="19" fillId="0" borderId="51" xfId="13" applyNumberFormat="1" applyFont="1" applyBorder="1" applyAlignment="1">
      <alignment horizontal="center" vertical="center"/>
    </xf>
    <xf numFmtId="9" fontId="20" fillId="0" borderId="53" xfId="14" applyFont="1" applyBorder="1" applyAlignment="1">
      <alignment horizontal="center" vertical="center"/>
    </xf>
    <xf numFmtId="10" fontId="20" fillId="0" borderId="53" xfId="14" applyNumberFormat="1" applyFont="1" applyBorder="1" applyAlignment="1">
      <alignment horizontal="center" vertical="center"/>
    </xf>
    <xf numFmtId="10" fontId="20" fillId="0" borderId="53" xfId="13" applyNumberFormat="1" applyFont="1" applyBorder="1" applyAlignment="1">
      <alignment horizontal="center" vertical="center"/>
    </xf>
    <xf numFmtId="10" fontId="20" fillId="0" borderId="51" xfId="13" applyNumberFormat="1" applyFont="1" applyBorder="1" applyAlignment="1">
      <alignment horizontal="center" vertical="center"/>
    </xf>
    <xf numFmtId="10" fontId="19" fillId="0" borderId="53" xfId="14" applyNumberFormat="1" applyFont="1" applyBorder="1" applyAlignment="1">
      <alignment horizontal="center" vertical="center"/>
    </xf>
    <xf numFmtId="10" fontId="20" fillId="7" borderId="53" xfId="14" applyNumberFormat="1" applyFont="1" applyFill="1" applyBorder="1" applyAlignment="1">
      <alignment horizontal="center" vertical="center"/>
    </xf>
    <xf numFmtId="10" fontId="20" fillId="0" borderId="53" xfId="12" applyNumberFormat="1" applyFont="1" applyBorder="1" applyAlignment="1">
      <alignment horizontal="center" vertical="center"/>
    </xf>
    <xf numFmtId="10" fontId="61" fillId="0" borderId="53" xfId="14" applyNumberFormat="1" applyFont="1" applyBorder="1" applyAlignment="1">
      <alignment horizontal="center" vertical="center"/>
    </xf>
    <xf numFmtId="10" fontId="61" fillId="0" borderId="60" xfId="14" applyNumberFormat="1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4" fontId="37" fillId="0" borderId="23" xfId="0" applyNumberFormat="1" applyFont="1" applyBorder="1" applyAlignment="1">
      <alignment horizontal="center" vertical="center" wrapText="1"/>
    </xf>
    <xf numFmtId="2" fontId="37" fillId="0" borderId="23" xfId="0" applyNumberFormat="1" applyFont="1" applyBorder="1" applyAlignment="1">
      <alignment horizontal="center" vertical="center" wrapText="1"/>
    </xf>
    <xf numFmtId="0" fontId="35" fillId="3" borderId="35" xfId="0" applyFont="1" applyFill="1" applyBorder="1" applyAlignment="1">
      <alignment horizontal="center" vertical="center"/>
    </xf>
    <xf numFmtId="4" fontId="37" fillId="0" borderId="14" xfId="0" applyNumberFormat="1" applyFont="1" applyBorder="1" applyAlignment="1">
      <alignment horizontal="center" vertical="center" wrapText="1"/>
    </xf>
    <xf numFmtId="4" fontId="37" fillId="0" borderId="36" xfId="0" applyNumberFormat="1" applyFont="1" applyBorder="1" applyAlignment="1">
      <alignment horizontal="center" vertical="center" wrapText="1"/>
    </xf>
    <xf numFmtId="0" fontId="34" fillId="0" borderId="23" xfId="0" applyFont="1" applyBorder="1" applyAlignment="1">
      <alignment horizontal="justify" vertical="distributed"/>
    </xf>
    <xf numFmtId="0" fontId="34" fillId="0" borderId="36" xfId="0" applyFont="1" applyBorder="1" applyAlignment="1">
      <alignment horizontal="center" vertical="distributed"/>
    </xf>
    <xf numFmtId="4" fontId="37" fillId="0" borderId="15" xfId="0" applyNumberFormat="1" applyFont="1" applyBorder="1" applyAlignment="1">
      <alignment horizontal="center" vertical="center" wrapText="1"/>
    </xf>
    <xf numFmtId="2" fontId="37" fillId="0" borderId="14" xfId="0" applyNumberFormat="1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23" xfId="0" applyFont="1" applyBorder="1" applyAlignment="1">
      <alignment vertical="center" wrapText="1"/>
    </xf>
    <xf numFmtId="2" fontId="37" fillId="0" borderId="36" xfId="0" applyNumberFormat="1" applyFont="1" applyBorder="1" applyAlignment="1">
      <alignment horizontal="center" vertical="center" wrapText="1"/>
    </xf>
    <xf numFmtId="2" fontId="37" fillId="0" borderId="34" xfId="0" applyNumberFormat="1" applyFont="1" applyBorder="1" applyAlignment="1">
      <alignment horizontal="center" vertical="center" wrapText="1"/>
    </xf>
    <xf numFmtId="4" fontId="37" fillId="0" borderId="37" xfId="0" applyNumberFormat="1" applyFont="1" applyBorder="1" applyAlignment="1">
      <alignment horizontal="center" vertical="center" wrapText="1"/>
    </xf>
    <xf numFmtId="0" fontId="21" fillId="8" borderId="2" xfId="1" applyFill="1" applyBorder="1" applyAlignment="1">
      <alignment horizontal="center" vertical="top"/>
    </xf>
    <xf numFmtId="0" fontId="21" fillId="8" borderId="4" xfId="1" applyFill="1" applyBorder="1" applyAlignment="1">
      <alignment horizontal="center" vertical="top"/>
    </xf>
    <xf numFmtId="0" fontId="21" fillId="8" borderId="5" xfId="1" applyFill="1" applyBorder="1"/>
    <xf numFmtId="0" fontId="21" fillId="8" borderId="6" xfId="1" applyFill="1" applyBorder="1"/>
    <xf numFmtId="0" fontId="13" fillId="8" borderId="0" xfId="1" applyFont="1" applyFill="1" applyBorder="1" applyAlignment="1">
      <alignment horizontal="center" vertical="center" wrapText="1"/>
    </xf>
    <xf numFmtId="0" fontId="14" fillId="8" borderId="0" xfId="1" applyFont="1" applyFill="1" applyBorder="1" applyAlignment="1">
      <alignment wrapText="1"/>
    </xf>
    <xf numFmtId="0" fontId="21" fillId="8" borderId="0" xfId="1" applyFill="1" applyBorder="1"/>
    <xf numFmtId="0" fontId="26" fillId="8" borderId="3" xfId="1" applyFont="1" applyFill="1" applyBorder="1" applyAlignment="1">
      <alignment vertical="center" wrapText="1"/>
    </xf>
    <xf numFmtId="10" fontId="29" fillId="8" borderId="0" xfId="2" applyNumberFormat="1" applyFont="1" applyFill="1" applyBorder="1" applyAlignment="1">
      <alignment horizontal="center" vertical="center"/>
    </xf>
    <xf numFmtId="164" fontId="20" fillId="0" borderId="14" xfId="3" applyFont="1" applyBorder="1" applyAlignment="1">
      <alignment horizontal="center" vertical="center"/>
    </xf>
    <xf numFmtId="167" fontId="19" fillId="0" borderId="23" xfId="3" applyNumberFormat="1" applyFont="1" applyBorder="1" applyAlignment="1">
      <alignment horizontal="center" vertical="center"/>
    </xf>
    <xf numFmtId="167" fontId="20" fillId="0" borderId="14" xfId="3" applyNumberFormat="1" applyFont="1" applyBorder="1"/>
    <xf numFmtId="0" fontId="18" fillId="0" borderId="49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167" fontId="20" fillId="0" borderId="13" xfId="3" applyNumberFormat="1" applyFont="1" applyBorder="1"/>
    <xf numFmtId="0" fontId="20" fillId="2" borderId="2" xfId="1" applyFont="1" applyFill="1" applyBorder="1" applyAlignment="1">
      <alignment vertical="top"/>
    </xf>
    <xf numFmtId="0" fontId="19" fillId="2" borderId="0" xfId="1" applyFont="1" applyFill="1" applyBorder="1" applyAlignment="1">
      <alignment horizontal="left"/>
    </xf>
    <xf numFmtId="164" fontId="20" fillId="2" borderId="0" xfId="3" applyFont="1" applyFill="1" applyBorder="1"/>
    <xf numFmtId="10" fontId="19" fillId="2" borderId="0" xfId="3" applyNumberFormat="1" applyFont="1" applyFill="1" applyBorder="1"/>
    <xf numFmtId="10" fontId="19" fillId="2" borderId="3" xfId="3" applyNumberFormat="1" applyFont="1" applyFill="1" applyBorder="1"/>
    <xf numFmtId="164" fontId="19" fillId="0" borderId="36" xfId="3" applyFont="1" applyBorder="1"/>
    <xf numFmtId="0" fontId="20" fillId="2" borderId="68" xfId="1" applyFont="1" applyFill="1" applyBorder="1" applyAlignment="1">
      <alignment vertical="top"/>
    </xf>
    <xf numFmtId="164" fontId="20" fillId="0" borderId="39" xfId="3" applyFont="1" applyBorder="1" applyAlignment="1">
      <alignment horizontal="center" vertical="center"/>
    </xf>
    <xf numFmtId="10" fontId="19" fillId="0" borderId="39" xfId="3" applyNumberFormat="1" applyFont="1" applyBorder="1"/>
    <xf numFmtId="10" fontId="19" fillId="0" borderId="40" xfId="3" applyNumberFormat="1" applyFont="1" applyBorder="1"/>
    <xf numFmtId="0" fontId="17" fillId="0" borderId="0" xfId="1" applyFont="1" applyBorder="1" applyAlignment="1">
      <alignment horizontal="center"/>
    </xf>
    <xf numFmtId="0" fontId="18" fillId="2" borderId="0" xfId="1" applyFont="1" applyFill="1" applyBorder="1" applyAlignment="1">
      <alignment horizontal="center" vertical="top" wrapText="1"/>
    </xf>
    <xf numFmtId="167" fontId="20" fillId="0" borderId="9" xfId="3" applyNumberFormat="1" applyFont="1" applyBorder="1"/>
    <xf numFmtId="9" fontId="20" fillId="0" borderId="34" xfId="3" applyNumberFormat="1" applyFont="1" applyBorder="1"/>
    <xf numFmtId="167" fontId="20" fillId="0" borderId="34" xfId="3" applyNumberFormat="1" applyFont="1" applyBorder="1"/>
    <xf numFmtId="9" fontId="20" fillId="0" borderId="37" xfId="3" applyNumberFormat="1" applyFont="1" applyBorder="1"/>
    <xf numFmtId="0" fontId="21" fillId="8" borderId="0" xfId="1" applyFill="1" applyBorder="1" applyAlignment="1">
      <alignment wrapText="1"/>
    </xf>
    <xf numFmtId="0" fontId="26" fillId="8" borderId="0" xfId="1" applyFont="1" applyFill="1" applyBorder="1" applyAlignment="1">
      <alignment wrapText="1"/>
    </xf>
    <xf numFmtId="0" fontId="27" fillId="8" borderId="0" xfId="1" applyFont="1" applyFill="1" applyBorder="1" applyAlignment="1">
      <alignment vertical="center" wrapText="1"/>
    </xf>
    <xf numFmtId="0" fontId="26" fillId="8" borderId="0" xfId="1" applyFont="1" applyFill="1" applyBorder="1" applyAlignment="1">
      <alignment vertical="center" wrapText="1"/>
    </xf>
    <xf numFmtId="0" fontId="13" fillId="8" borderId="0" xfId="1" applyFont="1" applyFill="1" applyBorder="1" applyAlignment="1">
      <alignment wrapText="1"/>
    </xf>
    <xf numFmtId="0" fontId="13" fillId="8" borderId="0" xfId="1" applyFont="1" applyFill="1" applyBorder="1" applyAlignment="1">
      <alignment vertical="center"/>
    </xf>
    <xf numFmtId="0" fontId="21" fillId="0" borderId="0" xfId="1" applyBorder="1"/>
    <xf numFmtId="0" fontId="21" fillId="0" borderId="3" xfId="1" applyBorder="1"/>
    <xf numFmtId="0" fontId="21" fillId="8" borderId="3" xfId="1" applyFill="1" applyBorder="1"/>
    <xf numFmtId="0" fontId="21" fillId="8" borderId="5" xfId="1" applyFill="1" applyBorder="1" applyAlignment="1">
      <alignment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justify" vertical="center"/>
    </xf>
    <xf numFmtId="0" fontId="23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6" fillId="0" borderId="0" xfId="0" applyFont="1" applyBorder="1" applyAlignment="1">
      <alignment horizontal="justify" vertical="center"/>
    </xf>
    <xf numFmtId="0" fontId="36" fillId="0" borderId="3" xfId="0" applyFont="1" applyBorder="1" applyAlignment="1">
      <alignment horizontal="justify" vertical="center"/>
    </xf>
    <xf numFmtId="0" fontId="52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distributed"/>
    </xf>
    <xf numFmtId="4" fontId="23" fillId="0" borderId="0" xfId="0" applyNumberFormat="1" applyFont="1" applyBorder="1" applyAlignment="1">
      <alignment horizontal="justify" vertical="distributed"/>
    </xf>
    <xf numFmtId="0" fontId="32" fillId="0" borderId="0" xfId="0" applyFont="1" applyAlignment="1">
      <alignment vertical="center" wrapText="1"/>
    </xf>
    <xf numFmtId="0" fontId="17" fillId="0" borderId="0" xfId="4" applyFont="1" applyAlignment="1"/>
    <xf numFmtId="10" fontId="20" fillId="0" borderId="73" xfId="13" applyNumberFormat="1" applyFont="1" applyBorder="1" applyAlignment="1">
      <alignment horizontal="left" vertical="center" wrapText="1"/>
    </xf>
    <xf numFmtId="166" fontId="20" fillId="0" borderId="74" xfId="14" applyNumberFormat="1" applyFont="1" applyBorder="1" applyAlignment="1">
      <alignment horizontal="center" vertical="center"/>
    </xf>
    <xf numFmtId="166" fontId="19" fillId="0" borderId="74" xfId="14" applyNumberFormat="1" applyFont="1" applyBorder="1" applyAlignment="1">
      <alignment horizontal="center" vertical="center"/>
    </xf>
    <xf numFmtId="0" fontId="10" fillId="8" borderId="2" xfId="4" applyFill="1" applyBorder="1"/>
    <xf numFmtId="0" fontId="28" fillId="8" borderId="0" xfId="4" applyFont="1" applyFill="1" applyBorder="1" applyAlignment="1">
      <alignment horizontal="right" vertical="center"/>
    </xf>
    <xf numFmtId="0" fontId="10" fillId="8" borderId="4" xfId="4" applyFill="1" applyBorder="1"/>
    <xf numFmtId="0" fontId="28" fillId="8" borderId="5" xfId="4" applyFont="1" applyFill="1" applyBorder="1" applyAlignment="1">
      <alignment horizontal="right" vertical="center"/>
    </xf>
    <xf numFmtId="10" fontId="29" fillId="8" borderId="5" xfId="2" applyNumberFormat="1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right" vertical="top"/>
    </xf>
    <xf numFmtId="0" fontId="10" fillId="8" borderId="5" xfId="4" applyFill="1" applyBorder="1" applyAlignment="1">
      <alignment horizontal="right" vertical="top"/>
    </xf>
    <xf numFmtId="0" fontId="10" fillId="8" borderId="6" xfId="4" applyFill="1" applyBorder="1" applyAlignment="1">
      <alignment horizontal="right" vertical="top"/>
    </xf>
    <xf numFmtId="0" fontId="34" fillId="0" borderId="38" xfId="0" applyNumberFormat="1" applyFont="1" applyBorder="1" applyAlignment="1">
      <alignment horizontal="center" vertical="distributed"/>
    </xf>
    <xf numFmtId="2" fontId="34" fillId="0" borderId="23" xfId="0" applyNumberFormat="1" applyFont="1" applyBorder="1" applyAlignment="1">
      <alignment horizontal="center" vertical="distributed"/>
    </xf>
    <xf numFmtId="168" fontId="38" fillId="0" borderId="0" xfId="0" applyNumberFormat="1" applyFont="1" applyAlignment="1">
      <alignment vertical="center"/>
    </xf>
    <xf numFmtId="0" fontId="3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3" xfId="0" applyFont="1" applyFill="1" applyBorder="1" applyAlignment="1">
      <alignment horizontal="left" vertical="center" wrapText="1"/>
    </xf>
    <xf numFmtId="0" fontId="37" fillId="3" borderId="25" xfId="0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35" fillId="3" borderId="28" xfId="0" applyFont="1" applyFill="1" applyBorder="1" applyAlignment="1">
      <alignment horizontal="center" vertical="center"/>
    </xf>
    <xf numFmtId="4" fontId="37" fillId="3" borderId="1" xfId="0" applyNumberFormat="1" applyFont="1" applyFill="1" applyBorder="1" applyAlignment="1">
      <alignment horizontal="center" vertical="center" wrapText="1"/>
    </xf>
    <xf numFmtId="2" fontId="37" fillId="0" borderId="16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8" borderId="14" xfId="0" applyFont="1" applyFill="1" applyBorder="1" applyAlignment="1">
      <alignment horizontal="center" vertical="center"/>
    </xf>
    <xf numFmtId="0" fontId="37" fillId="0" borderId="13" xfId="0" applyFont="1" applyBorder="1" applyAlignment="1">
      <alignment vertical="center" wrapText="1"/>
    </xf>
    <xf numFmtId="2" fontId="37" fillId="0" borderId="13" xfId="0" applyNumberFormat="1" applyFont="1" applyBorder="1" applyAlignment="1">
      <alignment horizontal="center" vertical="center"/>
    </xf>
    <xf numFmtId="0" fontId="37" fillId="8" borderId="14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vertical="center" wrapText="1"/>
    </xf>
    <xf numFmtId="2" fontId="37" fillId="0" borderId="7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 wrapText="1"/>
    </xf>
    <xf numFmtId="2" fontId="37" fillId="0" borderId="37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0" fontId="19" fillId="0" borderId="14" xfId="1" applyFont="1" applyBorder="1" applyAlignment="1">
      <alignment horizontal="left" vertical="center"/>
    </xf>
    <xf numFmtId="167" fontId="37" fillId="0" borderId="34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4" fontId="37" fillId="0" borderId="1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2" fontId="37" fillId="8" borderId="14" xfId="0" applyNumberFormat="1" applyFont="1" applyFill="1" applyBorder="1" applyAlignment="1">
      <alignment horizontal="center" vertical="center"/>
    </xf>
    <xf numFmtId="0" fontId="34" fillId="0" borderId="49" xfId="0" applyFont="1" applyBorder="1" applyAlignment="1">
      <alignment horizontal="center" vertical="distributed"/>
    </xf>
    <xf numFmtId="0" fontId="34" fillId="0" borderId="15" xfId="0" applyFont="1" applyBorder="1" applyAlignment="1">
      <alignment horizontal="justify" vertical="center"/>
    </xf>
    <xf numFmtId="2" fontId="34" fillId="0" borderId="15" xfId="0" applyNumberFormat="1" applyFont="1" applyBorder="1" applyAlignment="1">
      <alignment horizontal="center" vertical="distributed"/>
    </xf>
    <xf numFmtId="0" fontId="34" fillId="0" borderId="37" xfId="0" applyFont="1" applyBorder="1" applyAlignment="1">
      <alignment horizontal="center" vertical="distributed"/>
    </xf>
    <xf numFmtId="0" fontId="37" fillId="8" borderId="13" xfId="0" applyFont="1" applyFill="1" applyBorder="1" applyAlignment="1">
      <alignment horizontal="center" vertical="center"/>
    </xf>
    <xf numFmtId="0" fontId="37" fillId="8" borderId="13" xfId="0" applyFont="1" applyFill="1" applyBorder="1" applyAlignment="1">
      <alignment horizontal="left" vertical="center" wrapText="1"/>
    </xf>
    <xf numFmtId="4" fontId="38" fillId="0" borderId="0" xfId="0" applyNumberFormat="1" applyFont="1" applyAlignment="1">
      <alignment horizontal="justify" vertical="center"/>
    </xf>
    <xf numFmtId="0" fontId="35" fillId="3" borderId="19" xfId="0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/>
    </xf>
    <xf numFmtId="0" fontId="37" fillId="0" borderId="2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40" fillId="3" borderId="24" xfId="0" applyFont="1" applyFill="1" applyBorder="1" applyAlignment="1">
      <alignment horizontal="center" vertical="distributed"/>
    </xf>
    <xf numFmtId="0" fontId="23" fillId="0" borderId="0" xfId="0" applyFont="1" applyBorder="1" applyAlignment="1">
      <alignment horizontal="justify" vertical="distributed"/>
    </xf>
    <xf numFmtId="0" fontId="23" fillId="0" borderId="0" xfId="0" applyFont="1" applyBorder="1" applyAlignment="1">
      <alignment horizontal="left" vertical="distributed"/>
    </xf>
    <xf numFmtId="0" fontId="37" fillId="0" borderId="0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49" fontId="40" fillId="3" borderId="11" xfId="0" applyNumberFormat="1" applyFont="1" applyFill="1" applyBorder="1" applyAlignment="1">
      <alignment horizontal="center" vertical="center" wrapText="1"/>
    </xf>
    <xf numFmtId="49" fontId="40" fillId="3" borderId="10" xfId="0" applyNumberFormat="1" applyFont="1" applyFill="1" applyBorder="1" applyAlignment="1">
      <alignment horizontal="center" vertical="center" wrapText="1"/>
    </xf>
    <xf numFmtId="49" fontId="40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167" fontId="37" fillId="0" borderId="9" xfId="0" applyNumberFormat="1" applyFont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/>
    </xf>
    <xf numFmtId="2" fontId="37" fillId="0" borderId="14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center" vertical="center" wrapText="1"/>
    </xf>
    <xf numFmtId="0" fontId="37" fillId="8" borderId="31" xfId="0" applyFont="1" applyFill="1" applyBorder="1" applyAlignment="1">
      <alignment horizontal="center" vertical="center" wrapText="1"/>
    </xf>
    <xf numFmtId="0" fontId="37" fillId="8" borderId="15" xfId="0" applyFont="1" applyFill="1" applyBorder="1" applyAlignment="1">
      <alignment horizontal="left" vertical="center" wrapText="1"/>
    </xf>
    <xf numFmtId="4" fontId="37" fillId="8" borderId="15" xfId="0" applyNumberFormat="1" applyFont="1" applyFill="1" applyBorder="1" applyAlignment="1">
      <alignment horizontal="center" vertical="center" wrapText="1"/>
    </xf>
    <xf numFmtId="49" fontId="3" fillId="8" borderId="16" xfId="0" applyNumberFormat="1" applyFont="1" applyFill="1" applyBorder="1" applyAlignment="1">
      <alignment horizontal="center" vertical="center" wrapText="1"/>
    </xf>
    <xf numFmtId="0" fontId="37" fillId="8" borderId="16" xfId="0" applyFont="1" applyFill="1" applyBorder="1" applyAlignment="1">
      <alignment horizontal="left" vertical="center" wrapText="1"/>
    </xf>
    <xf numFmtId="0" fontId="37" fillId="8" borderId="16" xfId="0" applyFont="1" applyFill="1" applyBorder="1" applyAlignment="1">
      <alignment horizontal="center" vertical="center"/>
    </xf>
    <xf numFmtId="2" fontId="37" fillId="8" borderId="16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/>
    </xf>
    <xf numFmtId="0" fontId="37" fillId="8" borderId="41" xfId="0" applyFont="1" applyFill="1" applyBorder="1" applyAlignment="1">
      <alignment horizontal="center" vertical="center"/>
    </xf>
    <xf numFmtId="0" fontId="37" fillId="0" borderId="41" xfId="0" applyFont="1" applyFill="1" applyBorder="1" applyAlignment="1">
      <alignment horizontal="center" vertical="center"/>
    </xf>
    <xf numFmtId="4" fontId="37" fillId="8" borderId="37" xfId="0" applyNumberFormat="1" applyFont="1" applyFill="1" applyBorder="1" applyAlignment="1">
      <alignment horizontal="center" vertical="center" wrapText="1"/>
    </xf>
    <xf numFmtId="167" fontId="8" fillId="0" borderId="23" xfId="0" applyNumberFormat="1" applyFont="1" applyBorder="1" applyAlignment="1">
      <alignment horizontal="center" vertical="center" wrapText="1"/>
    </xf>
    <xf numFmtId="167" fontId="54" fillId="3" borderId="30" xfId="5" applyNumberFormat="1" applyFont="1" applyFill="1" applyBorder="1" applyAlignment="1">
      <alignment horizontal="center" vertical="center" wrapText="1"/>
    </xf>
    <xf numFmtId="167" fontId="35" fillId="3" borderId="18" xfId="0" applyNumberFormat="1" applyFont="1" applyFill="1" applyBorder="1" applyAlignment="1">
      <alignment horizontal="center" vertical="center" wrapText="1"/>
    </xf>
    <xf numFmtId="167" fontId="35" fillId="3" borderId="69" xfId="0" applyNumberFormat="1" applyFont="1" applyFill="1" applyBorder="1" applyAlignment="1">
      <alignment horizontal="center" vertical="center" wrapText="1"/>
    </xf>
    <xf numFmtId="167" fontId="7" fillId="0" borderId="23" xfId="0" applyNumberFormat="1" applyFont="1" applyBorder="1" applyAlignment="1">
      <alignment horizontal="center" vertical="center" wrapText="1"/>
    </xf>
    <xf numFmtId="167" fontId="37" fillId="0" borderId="36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167" fontId="37" fillId="0" borderId="37" xfId="0" applyNumberFormat="1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167" fontId="8" fillId="0" borderId="13" xfId="0" applyNumberFormat="1" applyFont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center" vertical="center" wrapText="1"/>
    </xf>
    <xf numFmtId="167" fontId="37" fillId="0" borderId="32" xfId="0" applyNumberFormat="1" applyFont="1" applyBorder="1" applyAlignment="1">
      <alignment horizontal="center" vertical="center" wrapText="1"/>
    </xf>
    <xf numFmtId="167" fontId="8" fillId="8" borderId="15" xfId="0" applyNumberFormat="1" applyFont="1" applyFill="1" applyBorder="1" applyAlignment="1">
      <alignment horizontal="center" vertical="center" wrapText="1"/>
    </xf>
    <xf numFmtId="167" fontId="37" fillId="8" borderId="37" xfId="0" applyNumberFormat="1" applyFont="1" applyFill="1" applyBorder="1" applyAlignment="1">
      <alignment horizontal="center" vertical="center" wrapText="1"/>
    </xf>
    <xf numFmtId="167" fontId="35" fillId="3" borderId="1" xfId="0" applyNumberFormat="1" applyFont="1" applyFill="1" applyBorder="1" applyAlignment="1">
      <alignment horizontal="center" vertical="center" wrapText="1"/>
    </xf>
    <xf numFmtId="167" fontId="45" fillId="3" borderId="18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37" fillId="8" borderId="22" xfId="0" applyFont="1" applyFill="1" applyBorder="1" applyAlignment="1">
      <alignment horizontal="center" vertical="center"/>
    </xf>
    <xf numFmtId="0" fontId="37" fillId="8" borderId="9" xfId="0" applyFont="1" applyFill="1" applyBorder="1" applyAlignment="1">
      <alignment horizontal="center" vertical="center"/>
    </xf>
    <xf numFmtId="0" fontId="37" fillId="8" borderId="34" xfId="0" applyFont="1" applyFill="1" applyBorder="1" applyAlignment="1">
      <alignment horizontal="center" vertical="center"/>
    </xf>
    <xf numFmtId="0" fontId="37" fillId="8" borderId="49" xfId="0" applyFont="1" applyFill="1" applyBorder="1" applyAlignment="1">
      <alignment horizontal="center" vertical="center"/>
    </xf>
    <xf numFmtId="0" fontId="8" fillId="8" borderId="0" xfId="4" applyFont="1" applyFill="1" applyBorder="1" applyAlignment="1">
      <alignment horizontal="right" vertical="top"/>
    </xf>
    <xf numFmtId="0" fontId="10" fillId="8" borderId="0" xfId="4" applyFill="1" applyBorder="1" applyAlignment="1">
      <alignment horizontal="right" vertical="top"/>
    </xf>
    <xf numFmtId="0" fontId="10" fillId="8" borderId="3" xfId="4" applyFill="1" applyBorder="1" applyAlignment="1">
      <alignment horizontal="right" vertical="top"/>
    </xf>
    <xf numFmtId="0" fontId="23" fillId="0" borderId="0" xfId="0" applyFont="1" applyBorder="1" applyAlignment="1">
      <alignment horizontal="center" vertical="center"/>
    </xf>
    <xf numFmtId="0" fontId="45" fillId="3" borderId="10" xfId="0" quotePrefix="1" applyFont="1" applyFill="1" applyBorder="1" applyAlignment="1">
      <alignment horizontal="left" vertical="center" wrapText="1"/>
    </xf>
    <xf numFmtId="0" fontId="45" fillId="3" borderId="12" xfId="0" quotePrefix="1" applyFont="1" applyFill="1" applyBorder="1" applyAlignment="1">
      <alignment horizontal="left" vertical="center" wrapText="1"/>
    </xf>
    <xf numFmtId="0" fontId="45" fillId="3" borderId="11" xfId="0" applyFont="1" applyFill="1" applyBorder="1" applyAlignment="1">
      <alignment horizontal="left" vertical="center" wrapText="1"/>
    </xf>
    <xf numFmtId="0" fontId="45" fillId="3" borderId="17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35" fillId="3" borderId="25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5" fillId="3" borderId="17" xfId="0" applyFont="1" applyFill="1" applyBorder="1" applyAlignment="1">
      <alignment horizontal="center" vertical="center"/>
    </xf>
    <xf numFmtId="0" fontId="35" fillId="3" borderId="25" xfId="0" applyFont="1" applyFill="1" applyBorder="1" applyAlignment="1">
      <alignment horizontal="center" vertical="center"/>
    </xf>
    <xf numFmtId="0" fontId="35" fillId="3" borderId="19" xfId="0" applyFont="1" applyFill="1" applyBorder="1" applyAlignment="1">
      <alignment horizontal="center" vertical="center"/>
    </xf>
    <xf numFmtId="0" fontId="49" fillId="3" borderId="17" xfId="0" applyFont="1" applyFill="1" applyBorder="1" applyAlignment="1">
      <alignment horizontal="center" vertical="center" wrapText="1"/>
    </xf>
    <xf numFmtId="0" fontId="49" fillId="3" borderId="25" xfId="0" applyFont="1" applyFill="1" applyBorder="1" applyAlignment="1">
      <alignment horizontal="center" vertical="center" wrapText="1"/>
    </xf>
    <xf numFmtId="0" fontId="49" fillId="3" borderId="12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center"/>
    </xf>
    <xf numFmtId="0" fontId="48" fillId="3" borderId="25" xfId="0" applyFont="1" applyFill="1" applyBorder="1" applyAlignment="1">
      <alignment horizontal="center" vertical="center"/>
    </xf>
    <xf numFmtId="0" fontId="48" fillId="3" borderId="19" xfId="0" applyFont="1" applyFill="1" applyBorder="1" applyAlignment="1">
      <alignment horizontal="center" vertical="center"/>
    </xf>
    <xf numFmtId="0" fontId="35" fillId="0" borderId="26" xfId="0" applyFont="1" applyBorder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5" fillId="0" borderId="41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3" borderId="48" xfId="0" applyFont="1" applyFill="1" applyBorder="1" applyAlignment="1">
      <alignment horizontal="center" vertical="center"/>
    </xf>
    <xf numFmtId="0" fontId="35" fillId="3" borderId="29" xfId="0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horizontal="center" vertical="center"/>
    </xf>
    <xf numFmtId="49" fontId="40" fillId="3" borderId="17" xfId="0" applyNumberFormat="1" applyFont="1" applyFill="1" applyBorder="1" applyAlignment="1">
      <alignment horizontal="center" vertical="center" wrapText="1"/>
    </xf>
    <xf numFmtId="49" fontId="40" fillId="3" borderId="12" xfId="0" applyNumberFormat="1" applyFont="1" applyFill="1" applyBorder="1" applyAlignment="1">
      <alignment horizontal="center" vertical="center" wrapText="1"/>
    </xf>
    <xf numFmtId="49" fontId="54" fillId="3" borderId="24" xfId="0" applyNumberFormat="1" applyFont="1" applyFill="1" applyBorder="1" applyAlignment="1">
      <alignment horizontal="left" vertical="center" wrapText="1"/>
    </xf>
    <xf numFmtId="49" fontId="54" fillId="3" borderId="25" xfId="0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justify" vertical="distributed"/>
    </xf>
    <xf numFmtId="0" fontId="23" fillId="0" borderId="0" xfId="0" applyFont="1" applyBorder="1" applyAlignment="1">
      <alignment horizontal="left" vertical="distributed"/>
    </xf>
    <xf numFmtId="0" fontId="37" fillId="0" borderId="0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distributed"/>
    </xf>
    <xf numFmtId="0" fontId="34" fillId="0" borderId="3" xfId="0" applyFont="1" applyBorder="1" applyAlignment="1">
      <alignment horizontal="center" vertical="distributed"/>
    </xf>
    <xf numFmtId="0" fontId="37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distributed"/>
    </xf>
    <xf numFmtId="0" fontId="35" fillId="3" borderId="1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7" fillId="8" borderId="15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40" fillId="3" borderId="24" xfId="0" applyFont="1" applyFill="1" applyBorder="1" applyAlignment="1">
      <alignment horizontal="center" vertical="distributed"/>
    </xf>
    <xf numFmtId="0" fontId="40" fillId="3" borderId="25" xfId="0" applyFont="1" applyFill="1" applyBorder="1" applyAlignment="1">
      <alignment horizontal="center" vertical="distributed"/>
    </xf>
    <xf numFmtId="0" fontId="40" fillId="3" borderId="19" xfId="0" applyFont="1" applyFill="1" applyBorder="1" applyAlignment="1">
      <alignment horizontal="center" vertical="distributed"/>
    </xf>
    <xf numFmtId="0" fontId="34" fillId="0" borderId="15" xfId="0" applyFont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distributed"/>
    </xf>
    <xf numFmtId="0" fontId="48" fillId="3" borderId="25" xfId="0" applyFont="1" applyFill="1" applyBorder="1" applyAlignment="1">
      <alignment horizontal="center" vertical="distributed"/>
    </xf>
    <xf numFmtId="0" fontId="48" fillId="3" borderId="19" xfId="0" applyFont="1" applyFill="1" applyBorder="1" applyAlignment="1">
      <alignment horizontal="center" vertical="distributed"/>
    </xf>
    <xf numFmtId="0" fontId="35" fillId="0" borderId="42" xfId="0" applyFont="1" applyBorder="1" applyAlignment="1">
      <alignment horizontal="left" vertical="distributed"/>
    </xf>
    <xf numFmtId="0" fontId="35" fillId="0" borderId="43" xfId="0" applyFont="1" applyBorder="1" applyAlignment="1">
      <alignment horizontal="left" vertical="distributed"/>
    </xf>
    <xf numFmtId="0" fontId="35" fillId="0" borderId="44" xfId="0" applyFont="1" applyBorder="1" applyAlignment="1">
      <alignment horizontal="left" vertical="distributed"/>
    </xf>
    <xf numFmtId="0" fontId="35" fillId="0" borderId="45" xfId="0" applyFont="1" applyBorder="1" applyAlignment="1">
      <alignment horizontal="left" vertical="distributed" wrapText="1"/>
    </xf>
    <xf numFmtId="0" fontId="35" fillId="0" borderId="46" xfId="0" applyFont="1" applyBorder="1" applyAlignment="1">
      <alignment horizontal="left" vertical="distributed" wrapText="1"/>
    </xf>
    <xf numFmtId="0" fontId="35" fillId="0" borderId="47" xfId="0" applyFont="1" applyBorder="1" applyAlignment="1">
      <alignment horizontal="left" vertical="distributed" wrapText="1"/>
    </xf>
    <xf numFmtId="49" fontId="40" fillId="3" borderId="19" xfId="0" applyNumberFormat="1" applyFont="1" applyFill="1" applyBorder="1" applyAlignment="1">
      <alignment horizontal="center" vertical="center" wrapText="1"/>
    </xf>
    <xf numFmtId="49" fontId="40" fillId="3" borderId="25" xfId="0" applyNumberFormat="1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8" borderId="7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7" fillId="8" borderId="8" xfId="0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8" borderId="84" xfId="0" applyFont="1" applyFill="1" applyBorder="1" applyAlignment="1">
      <alignment horizontal="center" vertical="center" wrapText="1"/>
    </xf>
    <xf numFmtId="0" fontId="37" fillId="8" borderId="85" xfId="0" applyFont="1" applyFill="1" applyBorder="1" applyAlignment="1">
      <alignment horizontal="center"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21" fillId="2" borderId="0" xfId="1" applyFill="1" applyBorder="1" applyAlignment="1">
      <alignment horizontal="center"/>
    </xf>
    <xf numFmtId="0" fontId="21" fillId="2" borderId="3" xfId="1" applyFill="1" applyBorder="1" applyAlignment="1">
      <alignment horizontal="center"/>
    </xf>
    <xf numFmtId="0" fontId="17" fillId="0" borderId="24" xfId="1" applyFont="1" applyBorder="1" applyAlignment="1">
      <alignment horizontal="center"/>
    </xf>
    <xf numFmtId="0" fontId="17" fillId="0" borderId="25" xfId="1" applyFont="1" applyBorder="1" applyAlignment="1">
      <alignment horizontal="center"/>
    </xf>
    <xf numFmtId="0" fontId="17" fillId="0" borderId="19" xfId="1" applyFont="1" applyBorder="1" applyAlignment="1">
      <alignment horizontal="center"/>
    </xf>
    <xf numFmtId="0" fontId="18" fillId="2" borderId="24" xfId="1" applyFont="1" applyFill="1" applyBorder="1" applyAlignment="1">
      <alignment horizontal="left" vertical="top" wrapText="1"/>
    </xf>
    <xf numFmtId="0" fontId="18" fillId="2" borderId="25" xfId="1" applyFont="1" applyFill="1" applyBorder="1" applyAlignment="1">
      <alignment horizontal="left" vertical="top" wrapText="1"/>
    </xf>
    <xf numFmtId="0" fontId="18" fillId="2" borderId="19" xfId="1" applyFont="1" applyFill="1" applyBorder="1" applyAlignment="1">
      <alignment horizontal="left" vertical="top" wrapText="1"/>
    </xf>
    <xf numFmtId="0" fontId="16" fillId="2" borderId="29" xfId="1" applyFont="1" applyFill="1" applyBorder="1" applyAlignment="1">
      <alignment horizontal="center"/>
    </xf>
    <xf numFmtId="0" fontId="16" fillId="2" borderId="30" xfId="1" applyFont="1" applyFill="1" applyBorder="1" applyAlignment="1">
      <alignment horizontal="center"/>
    </xf>
    <xf numFmtId="0" fontId="18" fillId="0" borderId="15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21" fillId="0" borderId="41" xfId="1" applyBorder="1" applyAlignment="1">
      <alignment vertical="center"/>
    </xf>
    <xf numFmtId="167" fontId="20" fillId="0" borderId="14" xfId="3" applyNumberFormat="1" applyFont="1" applyBorder="1" applyAlignment="1">
      <alignment horizontal="center" vertical="center"/>
    </xf>
    <xf numFmtId="0" fontId="19" fillId="0" borderId="14" xfId="1" applyFont="1" applyBorder="1" applyAlignment="1">
      <alignment horizontal="left" vertical="center"/>
    </xf>
    <xf numFmtId="0" fontId="18" fillId="0" borderId="24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167" fontId="20" fillId="0" borderId="13" xfId="3" applyNumberFormat="1" applyFont="1" applyBorder="1" applyAlignment="1">
      <alignment horizontal="center" vertical="center"/>
    </xf>
    <xf numFmtId="167" fontId="20" fillId="0" borderId="15" xfId="3" applyNumberFormat="1" applyFont="1" applyBorder="1" applyAlignment="1">
      <alignment horizontal="center" vertical="center"/>
    </xf>
    <xf numFmtId="0" fontId="19" fillId="0" borderId="15" xfId="1" applyFont="1" applyBorder="1" applyAlignment="1">
      <alignment horizontal="left" vertical="center"/>
    </xf>
    <xf numFmtId="0" fontId="19" fillId="0" borderId="82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83" xfId="1" applyFont="1" applyBorder="1" applyAlignment="1">
      <alignment horizontal="left" vertical="center"/>
    </xf>
    <xf numFmtId="0" fontId="19" fillId="0" borderId="84" xfId="1" applyFont="1" applyBorder="1" applyAlignment="1">
      <alignment horizontal="left" vertical="center"/>
    </xf>
    <xf numFmtId="0" fontId="19" fillId="0" borderId="85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3" fillId="8" borderId="0" xfId="1" applyFont="1" applyFill="1" applyBorder="1" applyAlignment="1">
      <alignment horizontal="center" vertical="center"/>
    </xf>
    <xf numFmtId="0" fontId="19" fillId="0" borderId="39" xfId="1" applyFont="1" applyBorder="1" applyAlignment="1">
      <alignment horizontal="left"/>
    </xf>
    <xf numFmtId="0" fontId="17" fillId="0" borderId="49" xfId="1" applyFont="1" applyBorder="1" applyAlignment="1">
      <alignment horizontal="center" vertical="center"/>
    </xf>
    <xf numFmtId="0" fontId="19" fillId="0" borderId="23" xfId="1" applyFont="1" applyBorder="1" applyAlignment="1">
      <alignment horizontal="left"/>
    </xf>
    <xf numFmtId="0" fontId="19" fillId="0" borderId="14" xfId="1" applyFont="1" applyBorder="1" applyAlignment="1">
      <alignment horizontal="left"/>
    </xf>
    <xf numFmtId="0" fontId="26" fillId="8" borderId="0" xfId="1" applyFont="1" applyFill="1" applyBorder="1" applyAlignment="1">
      <alignment horizontal="center" vertical="center" wrapText="1"/>
    </xf>
    <xf numFmtId="0" fontId="26" fillId="8" borderId="3" xfId="1" applyFont="1" applyFill="1" applyBorder="1" applyAlignment="1">
      <alignment horizontal="center" vertical="center" wrapText="1"/>
    </xf>
    <xf numFmtId="0" fontId="20" fillId="0" borderId="71" xfId="13" applyFont="1" applyBorder="1" applyAlignment="1">
      <alignment horizontal="right" vertical="center"/>
    </xf>
    <xf numFmtId="0" fontId="20" fillId="0" borderId="52" xfId="13" applyFont="1" applyBorder="1" applyAlignment="1">
      <alignment horizontal="right" vertical="center"/>
    </xf>
    <xf numFmtId="10" fontId="61" fillId="0" borderId="50" xfId="14" applyNumberFormat="1" applyFont="1" applyBorder="1" applyAlignment="1">
      <alignment horizontal="center" vertical="center"/>
    </xf>
    <xf numFmtId="10" fontId="61" fillId="0" borderId="52" xfId="14" applyNumberFormat="1" applyFont="1" applyBorder="1" applyAlignment="1">
      <alignment horizontal="center" vertical="center"/>
    </xf>
    <xf numFmtId="166" fontId="19" fillId="0" borderId="79" xfId="14" applyNumberFormat="1" applyFont="1" applyBorder="1" applyAlignment="1">
      <alignment horizontal="center" vertical="center"/>
    </xf>
    <xf numFmtId="166" fontId="19" fillId="0" borderId="80" xfId="14" applyNumberFormat="1" applyFont="1" applyBorder="1" applyAlignment="1">
      <alignment horizontal="center" vertical="center"/>
    </xf>
    <xf numFmtId="166" fontId="19" fillId="0" borderId="81" xfId="14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/>
    </xf>
    <xf numFmtId="0" fontId="17" fillId="0" borderId="0" xfId="4" applyFont="1" applyBorder="1" applyAlignment="1">
      <alignment horizontal="center"/>
    </xf>
    <xf numFmtId="0" fontId="17" fillId="0" borderId="3" xfId="4" applyFont="1" applyBorder="1" applyAlignment="1">
      <alignment horizontal="center"/>
    </xf>
    <xf numFmtId="0" fontId="56" fillId="5" borderId="71" xfId="13" applyFont="1" applyFill="1" applyBorder="1" applyAlignment="1">
      <alignment horizontal="center" vertical="center" wrapText="1"/>
    </xf>
    <xf numFmtId="0" fontId="56" fillId="5" borderId="51" xfId="13" applyFont="1" applyFill="1" applyBorder="1" applyAlignment="1">
      <alignment horizontal="center" vertical="center" wrapText="1"/>
    </xf>
    <xf numFmtId="0" fontId="56" fillId="5" borderId="72" xfId="13" applyFont="1" applyFill="1" applyBorder="1" applyAlignment="1">
      <alignment horizontal="center" vertical="center" wrapText="1"/>
    </xf>
    <xf numFmtId="0" fontId="57" fillId="6" borderId="73" xfId="13" applyFont="1" applyFill="1" applyBorder="1" applyAlignment="1">
      <alignment horizontal="center" vertical="center" wrapText="1"/>
    </xf>
    <xf numFmtId="0" fontId="57" fillId="6" borderId="53" xfId="13" applyFont="1" applyFill="1" applyBorder="1" applyAlignment="1">
      <alignment horizontal="center" vertical="center" wrapText="1"/>
    </xf>
    <xf numFmtId="0" fontId="57" fillId="6" borderId="74" xfId="13" applyFont="1" applyFill="1" applyBorder="1" applyAlignment="1">
      <alignment horizontal="center" vertical="center" wrapText="1"/>
    </xf>
    <xf numFmtId="0" fontId="57" fillId="6" borderId="50" xfId="13" applyFont="1" applyFill="1" applyBorder="1" applyAlignment="1">
      <alignment horizontal="center" vertical="center" wrapText="1"/>
    </xf>
    <xf numFmtId="0" fontId="57" fillId="6" borderId="51" xfId="13" applyFont="1" applyFill="1" applyBorder="1" applyAlignment="1">
      <alignment horizontal="center" vertical="center" wrapText="1"/>
    </xf>
    <xf numFmtId="0" fontId="57" fillId="6" borderId="52" xfId="13" applyFont="1" applyFill="1" applyBorder="1" applyAlignment="1">
      <alignment horizontal="center" vertical="center" wrapText="1"/>
    </xf>
    <xf numFmtId="9" fontId="20" fillId="0" borderId="50" xfId="14" applyFont="1" applyBorder="1" applyAlignment="1">
      <alignment horizontal="center" vertical="center"/>
    </xf>
    <xf numFmtId="9" fontId="20" fillId="0" borderId="52" xfId="14" applyFont="1" applyBorder="1" applyAlignment="1">
      <alignment horizontal="center" vertical="center"/>
    </xf>
    <xf numFmtId="10" fontId="20" fillId="0" borderId="50" xfId="14" applyNumberFormat="1" applyFont="1" applyBorder="1" applyAlignment="1">
      <alignment horizontal="center" vertical="center"/>
    </xf>
    <xf numFmtId="10" fontId="20" fillId="0" borderId="52" xfId="14" applyNumberFormat="1" applyFont="1" applyBorder="1" applyAlignment="1">
      <alignment horizontal="center" vertical="center"/>
    </xf>
    <xf numFmtId="0" fontId="30" fillId="0" borderId="0" xfId="4" applyFont="1" applyAlignment="1">
      <alignment horizontal="justify" vertical="top" wrapText="1"/>
    </xf>
    <xf numFmtId="0" fontId="19" fillId="5" borderId="71" xfId="13" applyFont="1" applyFill="1" applyBorder="1" applyAlignment="1">
      <alignment horizontal="center" vertical="center"/>
    </xf>
    <xf numFmtId="0" fontId="19" fillId="5" borderId="51" xfId="13" applyFont="1" applyFill="1" applyBorder="1" applyAlignment="1">
      <alignment horizontal="center" vertical="center"/>
    </xf>
    <xf numFmtId="0" fontId="19" fillId="5" borderId="65" xfId="13" applyFont="1" applyFill="1" applyBorder="1" applyAlignment="1">
      <alignment horizontal="center" vertical="center"/>
    </xf>
    <xf numFmtId="0" fontId="19" fillId="5" borderId="72" xfId="13" applyFont="1" applyFill="1" applyBorder="1" applyAlignment="1">
      <alignment horizontal="center" vertical="center"/>
    </xf>
    <xf numFmtId="0" fontId="8" fillId="8" borderId="0" xfId="4" applyFont="1" applyFill="1" applyBorder="1" applyAlignment="1">
      <alignment horizontal="right" vertical="top"/>
    </xf>
    <xf numFmtId="0" fontId="10" fillId="8" borderId="0" xfId="4" applyFill="1" applyBorder="1" applyAlignment="1">
      <alignment horizontal="right" vertical="top"/>
    </xf>
    <xf numFmtId="0" fontId="10" fillId="8" borderId="3" xfId="4" applyFill="1" applyBorder="1" applyAlignment="1">
      <alignment horizontal="right" vertical="top"/>
    </xf>
    <xf numFmtId="0" fontId="20" fillId="7" borderId="2" xfId="13" applyFont="1" applyFill="1" applyBorder="1" applyAlignment="1">
      <alignment horizontal="center" vertical="center" wrapText="1"/>
    </xf>
    <xf numFmtId="0" fontId="20" fillId="7" borderId="0" xfId="13" applyFont="1" applyFill="1" applyBorder="1" applyAlignment="1">
      <alignment horizontal="center" vertical="center" wrapText="1"/>
    </xf>
    <xf numFmtId="0" fontId="20" fillId="7" borderId="3" xfId="13" applyFont="1" applyFill="1" applyBorder="1" applyAlignment="1">
      <alignment horizontal="center" vertical="center" wrapText="1"/>
    </xf>
    <xf numFmtId="10" fontId="19" fillId="0" borderId="50" xfId="14" applyNumberFormat="1" applyFont="1" applyBorder="1" applyAlignment="1">
      <alignment horizontal="center" vertical="center"/>
    </xf>
    <xf numFmtId="10" fontId="19" fillId="0" borderId="52" xfId="14" applyNumberFormat="1" applyFont="1" applyBorder="1" applyAlignment="1">
      <alignment horizontal="center" vertical="center"/>
    </xf>
    <xf numFmtId="10" fontId="20" fillId="7" borderId="50" xfId="14" applyNumberFormat="1" applyFont="1" applyFill="1" applyBorder="1" applyAlignment="1">
      <alignment horizontal="center" vertical="center"/>
    </xf>
    <xf numFmtId="10" fontId="20" fillId="7" borderId="52" xfId="14" applyNumberFormat="1" applyFont="1" applyFill="1" applyBorder="1" applyAlignment="1">
      <alignment horizontal="center" vertical="center"/>
    </xf>
    <xf numFmtId="10" fontId="20" fillId="0" borderId="50" xfId="12" applyNumberFormat="1" applyFont="1" applyBorder="1" applyAlignment="1">
      <alignment horizontal="center" vertical="center"/>
    </xf>
    <xf numFmtId="10" fontId="20" fillId="0" borderId="52" xfId="12" applyNumberFormat="1" applyFont="1" applyBorder="1" applyAlignment="1">
      <alignment horizontal="center" vertical="center"/>
    </xf>
    <xf numFmtId="0" fontId="20" fillId="0" borderId="71" xfId="13" applyFont="1" applyBorder="1" applyAlignment="1">
      <alignment horizontal="left" vertical="center"/>
    </xf>
    <xf numFmtId="0" fontId="20" fillId="0" borderId="51" xfId="13" applyFont="1" applyBorder="1" applyAlignment="1">
      <alignment horizontal="left" vertical="center"/>
    </xf>
    <xf numFmtId="0" fontId="20" fillId="0" borderId="72" xfId="13" applyFont="1" applyBorder="1" applyAlignment="1">
      <alignment horizontal="left" vertical="center"/>
    </xf>
    <xf numFmtId="0" fontId="19" fillId="0" borderId="75" xfId="13" applyFont="1" applyBorder="1" applyAlignment="1">
      <alignment horizontal="center" vertical="center"/>
    </xf>
    <xf numFmtId="0" fontId="19" fillId="0" borderId="55" xfId="13" applyFont="1" applyBorder="1" applyAlignment="1">
      <alignment horizontal="center" vertical="center"/>
    </xf>
    <xf numFmtId="0" fontId="19" fillId="0" borderId="77" xfId="13" applyFont="1" applyBorder="1" applyAlignment="1">
      <alignment horizontal="center" vertical="center"/>
    </xf>
    <xf numFmtId="0" fontId="19" fillId="0" borderId="58" xfId="13" applyFont="1" applyBorder="1" applyAlignment="1">
      <alignment horizontal="center" vertical="center"/>
    </xf>
    <xf numFmtId="0" fontId="60" fillId="5" borderId="54" xfId="13" applyFont="1" applyFill="1" applyBorder="1" applyAlignment="1">
      <alignment horizontal="center" vertical="center"/>
    </xf>
    <xf numFmtId="0" fontId="60" fillId="5" borderId="56" xfId="13" applyFont="1" applyFill="1" applyBorder="1" applyAlignment="1">
      <alignment horizontal="center" vertical="center"/>
    </xf>
    <xf numFmtId="0" fontId="60" fillId="5" borderId="76" xfId="13" applyFont="1" applyFill="1" applyBorder="1" applyAlignment="1">
      <alignment horizontal="center" vertical="center"/>
    </xf>
    <xf numFmtId="0" fontId="19" fillId="5" borderId="57" xfId="13" applyFont="1" applyFill="1" applyBorder="1" applyAlignment="1">
      <alignment horizontal="center" vertical="center"/>
    </xf>
    <xf numFmtId="0" fontId="19" fillId="5" borderId="59" xfId="13" applyFont="1" applyFill="1" applyBorder="1" applyAlignment="1">
      <alignment horizontal="center" vertical="center"/>
    </xf>
    <xf numFmtId="0" fontId="19" fillId="5" borderId="78" xfId="13" applyFont="1" applyFill="1" applyBorder="1" applyAlignment="1">
      <alignment horizontal="center" vertical="center"/>
    </xf>
    <xf numFmtId="10" fontId="19" fillId="7" borderId="75" xfId="14" applyNumberFormat="1" applyFont="1" applyFill="1" applyBorder="1" applyAlignment="1">
      <alignment horizontal="center" vertical="center"/>
    </xf>
    <xf numFmtId="10" fontId="19" fillId="7" borderId="55" xfId="14" applyNumberFormat="1" applyFont="1" applyFill="1" applyBorder="1" applyAlignment="1">
      <alignment horizontal="center" vertical="center"/>
    </xf>
    <xf numFmtId="10" fontId="19" fillId="7" borderId="77" xfId="14" applyNumberFormat="1" applyFont="1" applyFill="1" applyBorder="1" applyAlignment="1">
      <alignment horizontal="center" vertical="center"/>
    </xf>
    <xf numFmtId="10" fontId="19" fillId="7" borderId="58" xfId="14" applyNumberFormat="1" applyFont="1" applyFill="1" applyBorder="1" applyAlignment="1">
      <alignment horizontal="center" vertical="center"/>
    </xf>
    <xf numFmtId="10" fontId="20" fillId="0" borderId="50" xfId="13" applyNumberFormat="1" applyFont="1" applyBorder="1" applyAlignment="1">
      <alignment horizontal="center" vertical="center"/>
    </xf>
    <xf numFmtId="10" fontId="20" fillId="0" borderId="52" xfId="13" applyNumberFormat="1" applyFont="1" applyBorder="1" applyAlignment="1">
      <alignment horizontal="center" vertical="center"/>
    </xf>
    <xf numFmtId="10" fontId="19" fillId="7" borderId="54" xfId="14" applyNumberFormat="1" applyFont="1" applyFill="1" applyBorder="1" applyAlignment="1">
      <alignment horizontal="center" vertical="center"/>
    </xf>
    <xf numFmtId="10" fontId="19" fillId="7" borderId="57" xfId="14" applyNumberFormat="1" applyFont="1" applyFill="1" applyBorder="1" applyAlignment="1">
      <alignment horizontal="center" vertical="center"/>
    </xf>
    <xf numFmtId="10" fontId="19" fillId="7" borderId="62" xfId="14" applyNumberFormat="1" applyFont="1" applyFill="1" applyBorder="1" applyAlignment="1">
      <alignment horizontal="center" vertical="center"/>
    </xf>
    <xf numFmtId="10" fontId="19" fillId="7" borderId="63" xfId="14" applyNumberFormat="1" applyFont="1" applyFill="1" applyBorder="1" applyAlignment="1">
      <alignment horizontal="center" vertical="center"/>
    </xf>
    <xf numFmtId="10" fontId="19" fillId="7" borderId="52" xfId="14" applyNumberFormat="1" applyFont="1" applyFill="1" applyBorder="1" applyAlignment="1">
      <alignment horizontal="center" vertical="center"/>
    </xf>
    <xf numFmtId="10" fontId="19" fillId="7" borderId="64" xfId="14" applyNumberFormat="1" applyFont="1" applyFill="1" applyBorder="1" applyAlignment="1">
      <alignment horizontal="center" vertical="center"/>
    </xf>
    <xf numFmtId="10" fontId="19" fillId="7" borderId="53" xfId="14" applyNumberFormat="1" applyFont="1" applyFill="1" applyBorder="1" applyAlignment="1">
      <alignment horizontal="center" vertical="center"/>
    </xf>
    <xf numFmtId="10" fontId="19" fillId="7" borderId="61" xfId="14" applyNumberFormat="1" applyFont="1" applyFill="1" applyBorder="1" applyAlignment="1">
      <alignment horizontal="center" vertical="center"/>
    </xf>
    <xf numFmtId="167" fontId="37" fillId="3" borderId="13" xfId="0" applyNumberFormat="1" applyFont="1" applyFill="1" applyBorder="1" applyAlignment="1">
      <alignment horizontal="center" vertical="center" wrapText="1"/>
    </xf>
    <xf numFmtId="167" fontId="37" fillId="3" borderId="23" xfId="0" applyNumberFormat="1" applyFont="1" applyFill="1" applyBorder="1" applyAlignment="1">
      <alignment horizontal="center" vertical="center"/>
    </xf>
    <xf numFmtId="167" fontId="37" fillId="3" borderId="13" xfId="0" applyNumberFormat="1" applyFont="1" applyFill="1" applyBorder="1" applyAlignment="1">
      <alignment horizontal="center" vertical="center"/>
    </xf>
    <xf numFmtId="167" fontId="37" fillId="3" borderId="14" xfId="0" applyNumberFormat="1" applyFont="1" applyFill="1" applyBorder="1" applyAlignment="1">
      <alignment horizontal="center" vertical="center"/>
    </xf>
    <xf numFmtId="167" fontId="37" fillId="3" borderId="16" xfId="0" applyNumberFormat="1" applyFont="1" applyFill="1" applyBorder="1" applyAlignment="1">
      <alignment horizontal="center" vertical="center"/>
    </xf>
    <xf numFmtId="167" fontId="37" fillId="3" borderId="15" xfId="0" applyNumberFormat="1" applyFont="1" applyFill="1" applyBorder="1" applyAlignment="1">
      <alignment horizontal="center" vertical="center"/>
    </xf>
    <xf numFmtId="167" fontId="37" fillId="3" borderId="14" xfId="0" applyNumberFormat="1" applyFont="1" applyFill="1" applyBorder="1" applyAlignment="1">
      <alignment horizontal="center" vertical="center" wrapText="1"/>
    </xf>
    <xf numFmtId="167" fontId="37" fillId="3" borderId="39" xfId="0" applyNumberFormat="1" applyFont="1" applyFill="1" applyBorder="1" applyAlignment="1">
      <alignment horizontal="center" vertical="center" wrapText="1"/>
    </xf>
    <xf numFmtId="167" fontId="34" fillId="3" borderId="13" xfId="0" applyNumberFormat="1" applyFont="1" applyFill="1" applyBorder="1" applyAlignment="1">
      <alignment horizontal="center" vertical="center"/>
    </xf>
    <xf numFmtId="167" fontId="37" fillId="3" borderId="15" xfId="0" applyNumberFormat="1" applyFont="1" applyFill="1" applyBorder="1" applyAlignment="1">
      <alignment horizontal="center" vertical="center" wrapText="1"/>
    </xf>
    <xf numFmtId="167" fontId="37" fillId="3" borderId="16" xfId="0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62" fillId="8" borderId="0" xfId="0" applyFont="1" applyFill="1" applyAlignment="1">
      <alignment horizontal="center" vertical="center"/>
    </xf>
    <xf numFmtId="0" fontId="63" fillId="8" borderId="0" xfId="0" applyFont="1" applyFill="1" applyAlignment="1">
      <alignment horizontal="center" vertical="center"/>
    </xf>
    <xf numFmtId="9" fontId="20" fillId="3" borderId="14" xfId="3" applyNumberFormat="1" applyFont="1" applyFill="1" applyBorder="1"/>
    <xf numFmtId="9" fontId="20" fillId="3" borderId="15" xfId="3" applyNumberFormat="1" applyFont="1" applyFill="1" applyBorder="1"/>
    <xf numFmtId="9" fontId="20" fillId="3" borderId="53" xfId="14" applyFont="1" applyFill="1" applyBorder="1" applyAlignment="1">
      <alignment horizontal="center" vertical="center"/>
    </xf>
    <xf numFmtId="10" fontId="20" fillId="3" borderId="53" xfId="14" applyNumberFormat="1" applyFont="1" applyFill="1" applyBorder="1" applyAlignment="1">
      <alignment horizontal="center" vertical="center"/>
    </xf>
    <xf numFmtId="10" fontId="19" fillId="3" borderId="53" xfId="14" applyNumberFormat="1" applyFont="1" applyFill="1" applyBorder="1" applyAlignment="1">
      <alignment horizontal="center" vertical="center"/>
    </xf>
    <xf numFmtId="10" fontId="20" fillId="3" borderId="53" xfId="12" applyNumberFormat="1" applyFont="1" applyFill="1" applyBorder="1" applyAlignment="1">
      <alignment horizontal="center" vertical="center"/>
    </xf>
    <xf numFmtId="10" fontId="19" fillId="3" borderId="66" xfId="14" applyNumberFormat="1" applyFont="1" applyFill="1" applyBorder="1" applyAlignment="1">
      <alignment horizontal="center" vertical="center"/>
    </xf>
    <xf numFmtId="10" fontId="19" fillId="3" borderId="67" xfId="14" applyNumberFormat="1" applyFont="1" applyFill="1" applyBorder="1" applyAlignment="1">
      <alignment horizontal="center" vertical="center"/>
    </xf>
  </cellXfs>
  <cellStyles count="15">
    <cellStyle name="Moeda 2" xfId="11"/>
    <cellStyle name="Normal" xfId="0" builtinId="0"/>
    <cellStyle name="Normal 10" xfId="13"/>
    <cellStyle name="Normal 2" xfId="1"/>
    <cellStyle name="Normal 2 2" xfId="7"/>
    <cellStyle name="Normal 3" xfId="4"/>
    <cellStyle name="Normal 3 2" xfId="9"/>
    <cellStyle name="Normal 4" xfId="6"/>
    <cellStyle name="Porcentagem" xfId="12" builtinId="5"/>
    <cellStyle name="Porcentagem 2" xfId="2"/>
    <cellStyle name="Porcentagem 2 2" xfId="14"/>
    <cellStyle name="Vírgula" xfId="5" builtinId="3"/>
    <cellStyle name="Vírgula 2" xfId="3"/>
    <cellStyle name="Vírgula 2 2" xfId="8"/>
    <cellStyle name="Vírgula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2</xdr:col>
          <xdr:colOff>333375</xdr:colOff>
          <xdr:row>0</xdr:row>
          <xdr:rowOff>895350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66675</xdr:rowOff>
        </xdr:from>
        <xdr:to>
          <xdr:col>1</xdr:col>
          <xdr:colOff>962025</xdr:colOff>
          <xdr:row>0</xdr:row>
          <xdr:rowOff>885825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171450</xdr:rowOff>
        </xdr:from>
        <xdr:to>
          <xdr:col>7</xdr:col>
          <xdr:colOff>0</xdr:colOff>
          <xdr:row>2</xdr:row>
          <xdr:rowOff>28575</xdr:rowOff>
        </xdr:to>
        <xdr:sp macro="" textlink="">
          <xdr:nvSpPr>
            <xdr:cNvPr id="11265" name="Imagem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0</xdr:row>
          <xdr:rowOff>47625</xdr:rowOff>
        </xdr:from>
        <xdr:to>
          <xdr:col>1</xdr:col>
          <xdr:colOff>571500</xdr:colOff>
          <xdr:row>3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66675</xdr:rowOff>
        </xdr:from>
        <xdr:to>
          <xdr:col>0</xdr:col>
          <xdr:colOff>1009650</xdr:colOff>
          <xdr:row>0</xdr:row>
          <xdr:rowOff>619125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>
    <outlinePr summaryBelow="0"/>
    <pageSetUpPr fitToPage="1"/>
  </sheetPr>
  <dimension ref="A1:Q74"/>
  <sheetViews>
    <sheetView showGridLines="0" showZeros="0" tabSelected="1" view="pageBreakPreview" zoomScaleSheetLayoutView="100" workbookViewId="0">
      <selection activeCell="K5" sqref="K5"/>
    </sheetView>
  </sheetViews>
  <sheetFormatPr defaultColWidth="9.140625" defaultRowHeight="12.75" outlineLevelRow="1" x14ac:dyDescent="0.2"/>
  <cols>
    <col min="1" max="1" width="5.85546875" style="76" customWidth="1"/>
    <col min="2" max="2" width="10.85546875" style="76" bestFit="1" customWidth="1"/>
    <col min="3" max="3" width="13.5703125" style="76" bestFit="1" customWidth="1"/>
    <col min="4" max="4" width="69.28515625" style="77" customWidth="1"/>
    <col min="5" max="5" width="7.5703125" style="76" bestFit="1" customWidth="1"/>
    <col min="6" max="6" width="10" style="76" customWidth="1"/>
    <col min="7" max="7" width="10.42578125" style="76" customWidth="1"/>
    <col min="8" max="8" width="11.140625" style="76" bestFit="1" customWidth="1"/>
    <col min="9" max="9" width="17.140625" style="102" customWidth="1"/>
    <col min="10" max="10" width="16.140625" style="77" bestFit="1" customWidth="1"/>
    <col min="11" max="11" width="14.28515625" style="77" bestFit="1" customWidth="1"/>
    <col min="12" max="12" width="13.7109375" style="77" bestFit="1" customWidth="1"/>
    <col min="13" max="16384" width="9.140625" style="77"/>
  </cols>
  <sheetData>
    <row r="1" spans="1:17" ht="75.75" customHeight="1" thickBot="1" x14ac:dyDescent="0.25">
      <c r="A1" s="246"/>
      <c r="B1" s="60"/>
      <c r="C1" s="60"/>
      <c r="D1" s="329" t="s">
        <v>0</v>
      </c>
      <c r="E1" s="330"/>
      <c r="F1" s="330"/>
      <c r="G1" s="330"/>
      <c r="H1" s="330"/>
      <c r="I1" s="331"/>
      <c r="J1" s="8"/>
      <c r="K1" s="8"/>
      <c r="L1" s="8"/>
    </row>
    <row r="2" spans="1:17" s="78" customFormat="1" ht="24.95" customHeight="1" thickBot="1" x14ac:dyDescent="0.25">
      <c r="A2" s="332" t="s">
        <v>1</v>
      </c>
      <c r="B2" s="333"/>
      <c r="C2" s="333"/>
      <c r="D2" s="333"/>
      <c r="E2" s="333"/>
      <c r="F2" s="333"/>
      <c r="G2" s="333"/>
      <c r="H2" s="333"/>
      <c r="I2" s="334"/>
      <c r="J2" s="42"/>
      <c r="K2" s="42"/>
      <c r="L2" s="42"/>
      <c r="M2" s="42"/>
      <c r="N2" s="42"/>
      <c r="O2" s="42"/>
    </row>
    <row r="3" spans="1:17" s="80" customFormat="1" ht="20.100000000000001" customHeight="1" x14ac:dyDescent="0.2">
      <c r="A3" s="335" t="s">
        <v>97</v>
      </c>
      <c r="B3" s="336"/>
      <c r="C3" s="336"/>
      <c r="D3" s="336"/>
      <c r="E3" s="336"/>
      <c r="F3" s="336"/>
      <c r="G3" s="337"/>
      <c r="H3" s="61" t="s">
        <v>2</v>
      </c>
      <c r="I3" s="62"/>
      <c r="J3" s="79"/>
      <c r="K3" s="79"/>
      <c r="L3" s="79"/>
      <c r="M3" s="79"/>
      <c r="N3" s="79"/>
      <c r="O3" s="79"/>
    </row>
    <row r="4" spans="1:17" s="80" customFormat="1" ht="15" x14ac:dyDescent="0.2">
      <c r="A4" s="338" t="s">
        <v>98</v>
      </c>
      <c r="B4" s="339"/>
      <c r="C4" s="340"/>
      <c r="D4" s="340"/>
      <c r="E4" s="340"/>
      <c r="F4" s="340"/>
      <c r="G4" s="340"/>
      <c r="H4" s="63" t="s">
        <v>3</v>
      </c>
      <c r="I4" s="64">
        <v>0.03</v>
      </c>
      <c r="J4" s="41"/>
      <c r="K4" s="41"/>
      <c r="L4" s="41"/>
      <c r="M4" s="41"/>
      <c r="N4" s="41"/>
      <c r="O4" s="41"/>
    </row>
    <row r="5" spans="1:17" s="80" customFormat="1" ht="48" customHeight="1" x14ac:dyDescent="0.2">
      <c r="A5" s="338" t="s">
        <v>243</v>
      </c>
      <c r="B5" s="339"/>
      <c r="C5" s="340"/>
      <c r="D5" s="340"/>
      <c r="E5" s="340"/>
      <c r="F5" s="340"/>
      <c r="G5" s="340"/>
      <c r="H5" s="341" t="s">
        <v>4</v>
      </c>
      <c r="I5" s="342"/>
      <c r="J5" s="41"/>
      <c r="K5" s="41"/>
      <c r="L5" s="41"/>
      <c r="M5" s="41"/>
      <c r="N5" s="41"/>
      <c r="O5" s="41"/>
    </row>
    <row r="6" spans="1:17" s="80" customFormat="1" ht="20.100000000000001" customHeight="1" thickBot="1" x14ac:dyDescent="0.25">
      <c r="A6" s="338" t="s">
        <v>254</v>
      </c>
      <c r="B6" s="339"/>
      <c r="C6" s="340"/>
      <c r="D6" s="340"/>
      <c r="E6" s="340"/>
      <c r="F6" s="340"/>
      <c r="G6" s="340"/>
      <c r="H6" s="63" t="s">
        <v>5</v>
      </c>
      <c r="I6" s="64">
        <f>ROUND(BDI!D25,4)</f>
        <v>0.29289999999999999</v>
      </c>
      <c r="J6" s="202"/>
      <c r="K6" s="41"/>
      <c r="L6" s="41"/>
      <c r="M6" s="41"/>
      <c r="N6" s="41"/>
      <c r="O6" s="41"/>
    </row>
    <row r="7" spans="1:17" s="80" customFormat="1" ht="45" customHeight="1" thickBot="1" x14ac:dyDescent="0.25">
      <c r="A7" s="262" t="s">
        <v>6</v>
      </c>
      <c r="B7" s="346" t="s">
        <v>7</v>
      </c>
      <c r="C7" s="347"/>
      <c r="D7" s="261" t="s">
        <v>8</v>
      </c>
      <c r="E7" s="261" t="s">
        <v>9</v>
      </c>
      <c r="F7" s="261" t="s">
        <v>10</v>
      </c>
      <c r="G7" s="261" t="s">
        <v>11</v>
      </c>
      <c r="H7" s="261" t="s">
        <v>12</v>
      </c>
      <c r="I7" s="263" t="s">
        <v>13</v>
      </c>
      <c r="J7" s="79"/>
      <c r="K7" s="79"/>
      <c r="L7" s="79"/>
      <c r="M7" s="79"/>
      <c r="N7" s="79"/>
      <c r="O7" s="81"/>
    </row>
    <row r="8" spans="1:17" s="80" customFormat="1" ht="26.25" customHeight="1" thickBot="1" x14ac:dyDescent="0.25">
      <c r="A8" s="348" t="s">
        <v>99</v>
      </c>
      <c r="B8" s="349"/>
      <c r="C8" s="349"/>
      <c r="D8" s="349"/>
      <c r="E8" s="349"/>
      <c r="F8" s="349"/>
      <c r="G8" s="349"/>
      <c r="H8" s="349"/>
      <c r="I8" s="287">
        <f>I9+I11+I26+I34+I37+I44+I46+I57</f>
        <v>0</v>
      </c>
      <c r="J8" s="79"/>
      <c r="K8" s="79"/>
      <c r="L8" s="79"/>
      <c r="M8" s="79"/>
      <c r="N8" s="79"/>
      <c r="O8" s="81"/>
    </row>
    <row r="9" spans="1:17" s="80" customFormat="1" ht="26.25" customHeight="1" thickBot="1" x14ac:dyDescent="0.25">
      <c r="A9" s="34" t="s">
        <v>15</v>
      </c>
      <c r="B9" s="319" t="s">
        <v>16</v>
      </c>
      <c r="C9" s="320"/>
      <c r="D9" s="320"/>
      <c r="E9" s="320"/>
      <c r="F9" s="320"/>
      <c r="G9" s="320"/>
      <c r="H9" s="321"/>
      <c r="I9" s="288">
        <f>SUM(I10:I10)</f>
        <v>0</v>
      </c>
      <c r="J9" s="79"/>
      <c r="K9" s="79"/>
      <c r="L9" s="79"/>
      <c r="M9" s="79"/>
      <c r="N9" s="79"/>
      <c r="O9" s="81"/>
    </row>
    <row r="10" spans="1:17" s="80" customFormat="1" ht="75.75" thickBot="1" x14ac:dyDescent="0.25">
      <c r="A10" s="36" t="s">
        <v>17</v>
      </c>
      <c r="B10" s="103" t="s">
        <v>18</v>
      </c>
      <c r="C10" s="265" t="s">
        <v>19</v>
      </c>
      <c r="D10" s="37" t="s">
        <v>20</v>
      </c>
      <c r="E10" s="38" t="s">
        <v>21</v>
      </c>
      <c r="F10" s="39">
        <f>'Memória de Cálculo'!G7</f>
        <v>1</v>
      </c>
      <c r="G10" s="500"/>
      <c r="H10" s="286">
        <f>ROUND(G10+G10*I6,2)</f>
        <v>0</v>
      </c>
      <c r="I10" s="266">
        <f t="shared" ref="I10" si="0">H10*F10</f>
        <v>0</v>
      </c>
      <c r="J10" s="79"/>
      <c r="K10" s="79"/>
      <c r="L10" s="79"/>
      <c r="M10" s="79"/>
      <c r="N10" s="79"/>
      <c r="O10" s="81"/>
    </row>
    <row r="11" spans="1:17" s="80" customFormat="1" ht="15.75" outlineLevel="1" thickBot="1" x14ac:dyDescent="0.25">
      <c r="A11" s="123">
        <v>2</v>
      </c>
      <c r="B11" s="343" t="s">
        <v>100</v>
      </c>
      <c r="C11" s="344"/>
      <c r="D11" s="344"/>
      <c r="E11" s="344"/>
      <c r="F11" s="344"/>
      <c r="G11" s="344"/>
      <c r="H11" s="345"/>
      <c r="I11" s="289">
        <f>SUM(I12:I25)</f>
        <v>0</v>
      </c>
      <c r="J11" s="79"/>
      <c r="K11" s="79"/>
      <c r="L11" s="79"/>
      <c r="M11" s="79"/>
      <c r="N11" s="79"/>
      <c r="O11" s="79"/>
      <c r="P11" s="79"/>
      <c r="Q11" s="79"/>
    </row>
    <row r="12" spans="1:17" s="80" customFormat="1" ht="30" outlineLevel="1" x14ac:dyDescent="0.2">
      <c r="A12" s="130" t="s">
        <v>23</v>
      </c>
      <c r="B12" s="250" t="s">
        <v>155</v>
      </c>
      <c r="C12" s="253">
        <v>97622</v>
      </c>
      <c r="D12" s="131" t="s">
        <v>208</v>
      </c>
      <c r="E12" s="253" t="s">
        <v>24</v>
      </c>
      <c r="F12" s="221">
        <f>'Memória de Cálculo'!G9</f>
        <v>2.82</v>
      </c>
      <c r="G12" s="501"/>
      <c r="H12" s="290">
        <f>ROUND(G12+G12*$I$6,2)</f>
        <v>0</v>
      </c>
      <c r="I12" s="291">
        <f>ROUND(H12*F12,2)</f>
        <v>0</v>
      </c>
      <c r="J12" s="79"/>
      <c r="K12" s="79"/>
      <c r="L12" s="79"/>
      <c r="M12" s="79"/>
      <c r="N12" s="79"/>
      <c r="O12" s="79"/>
      <c r="P12" s="79"/>
      <c r="Q12" s="79"/>
    </row>
    <row r="13" spans="1:17" s="80" customFormat="1" ht="30" outlineLevel="1" x14ac:dyDescent="0.2">
      <c r="A13" s="104" t="s">
        <v>94</v>
      </c>
      <c r="B13" s="254" t="s">
        <v>155</v>
      </c>
      <c r="C13" s="38">
        <v>95875</v>
      </c>
      <c r="D13" s="217" t="s">
        <v>209</v>
      </c>
      <c r="E13" s="207" t="s">
        <v>152</v>
      </c>
      <c r="F13" s="129">
        <f>'Memória de Cálculo'!G10</f>
        <v>12.41</v>
      </c>
      <c r="G13" s="502"/>
      <c r="H13" s="292">
        <f>ROUND(G13+G13*$I$6,2)</f>
        <v>0</v>
      </c>
      <c r="I13" s="293">
        <f>ROUND(H13*F13,2)</f>
        <v>0</v>
      </c>
      <c r="J13" s="79"/>
      <c r="K13" s="79"/>
      <c r="L13" s="79"/>
      <c r="M13" s="79"/>
      <c r="N13" s="79"/>
      <c r="O13" s="79"/>
      <c r="P13" s="79"/>
      <c r="Q13" s="79"/>
    </row>
    <row r="14" spans="1:17" s="80" customFormat="1" ht="30" outlineLevel="1" x14ac:dyDescent="0.2">
      <c r="A14" s="104" t="s">
        <v>95</v>
      </c>
      <c r="B14" s="251" t="s">
        <v>18</v>
      </c>
      <c r="C14" s="38" t="s">
        <v>176</v>
      </c>
      <c r="D14" s="217" t="s">
        <v>177</v>
      </c>
      <c r="E14" s="207" t="s">
        <v>24</v>
      </c>
      <c r="F14" s="129">
        <f>'Memória de Cálculo'!G11</f>
        <v>0.15</v>
      </c>
      <c r="G14" s="502"/>
      <c r="H14" s="292">
        <f>ROUND(G14+G14*$I$6,2)</f>
        <v>0</v>
      </c>
      <c r="I14" s="293">
        <f t="shared" ref="I14:I25" si="1">ROUND(H14*F14,2)</f>
        <v>0</v>
      </c>
      <c r="J14" s="79"/>
      <c r="K14" s="79"/>
      <c r="L14" s="79"/>
      <c r="M14" s="79"/>
      <c r="N14" s="79"/>
      <c r="O14" s="79"/>
      <c r="P14" s="79"/>
      <c r="Q14" s="79"/>
    </row>
    <row r="15" spans="1:17" s="80" customFormat="1" ht="45" outlineLevel="1" x14ac:dyDescent="0.2">
      <c r="A15" s="104" t="s">
        <v>123</v>
      </c>
      <c r="B15" s="251" t="s">
        <v>18</v>
      </c>
      <c r="C15" s="38" t="s">
        <v>242</v>
      </c>
      <c r="D15" s="217" t="s">
        <v>195</v>
      </c>
      <c r="E15" s="207" t="s">
        <v>24</v>
      </c>
      <c r="F15" s="129">
        <f>'Memória de Cálculo'!G12</f>
        <v>0.25</v>
      </c>
      <c r="G15" s="502"/>
      <c r="H15" s="292">
        <f>ROUND(G15+G15*$I$6,2)</f>
        <v>0</v>
      </c>
      <c r="I15" s="293">
        <f t="shared" si="1"/>
        <v>0</v>
      </c>
      <c r="J15" s="79"/>
      <c r="K15" s="79"/>
      <c r="L15" s="79"/>
      <c r="M15" s="79"/>
      <c r="N15" s="79"/>
      <c r="O15" s="79"/>
      <c r="P15" s="79"/>
      <c r="Q15" s="79"/>
    </row>
    <row r="16" spans="1:17" s="80" customFormat="1" ht="30" outlineLevel="1" x14ac:dyDescent="0.2">
      <c r="A16" s="104" t="s">
        <v>124</v>
      </c>
      <c r="B16" s="251" t="s">
        <v>18</v>
      </c>
      <c r="C16" s="38" t="s">
        <v>197</v>
      </c>
      <c r="D16" s="217" t="s">
        <v>198</v>
      </c>
      <c r="E16" s="207" t="s">
        <v>22</v>
      </c>
      <c r="F16" s="129">
        <f>'Memória de Cálculo'!G13</f>
        <v>1</v>
      </c>
      <c r="G16" s="502"/>
      <c r="H16" s="292">
        <f t="shared" ref="H16:H25" si="2">ROUND(G16+G16*$I$6,2)</f>
        <v>0</v>
      </c>
      <c r="I16" s="293">
        <f t="shared" si="1"/>
        <v>0</v>
      </c>
      <c r="J16" s="79"/>
      <c r="K16" s="79"/>
      <c r="L16" s="79"/>
      <c r="M16" s="79"/>
      <c r="N16" s="79"/>
      <c r="O16" s="79"/>
      <c r="P16" s="79"/>
      <c r="Q16" s="79"/>
    </row>
    <row r="17" spans="1:17" s="80" customFormat="1" ht="30" outlineLevel="1" x14ac:dyDescent="0.2">
      <c r="A17" s="104" t="s">
        <v>168</v>
      </c>
      <c r="B17" s="254" t="s">
        <v>155</v>
      </c>
      <c r="C17" s="38">
        <v>104918</v>
      </c>
      <c r="D17" s="217" t="s">
        <v>210</v>
      </c>
      <c r="E17" s="207" t="s">
        <v>186</v>
      </c>
      <c r="F17" s="129">
        <f>'Memória de Cálculo'!G14</f>
        <v>8.2799999999999994</v>
      </c>
      <c r="G17" s="502"/>
      <c r="H17" s="292">
        <f t="shared" si="2"/>
        <v>0</v>
      </c>
      <c r="I17" s="293">
        <f t="shared" si="1"/>
        <v>0</v>
      </c>
      <c r="J17" s="79"/>
      <c r="K17" s="79"/>
      <c r="L17" s="79"/>
      <c r="M17" s="79"/>
      <c r="N17" s="79"/>
      <c r="O17" s="79"/>
      <c r="P17" s="79"/>
      <c r="Q17" s="79"/>
    </row>
    <row r="18" spans="1:17" s="80" customFormat="1" ht="30" outlineLevel="1" x14ac:dyDescent="0.2">
      <c r="A18" s="104" t="s">
        <v>169</v>
      </c>
      <c r="B18" s="254" t="s">
        <v>155</v>
      </c>
      <c r="C18" s="38">
        <v>104917</v>
      </c>
      <c r="D18" s="217" t="s">
        <v>211</v>
      </c>
      <c r="E18" s="207" t="s">
        <v>186</v>
      </c>
      <c r="F18" s="129">
        <f>'Memória de Cálculo'!G15</f>
        <v>4.9000000000000004</v>
      </c>
      <c r="G18" s="502"/>
      <c r="H18" s="292">
        <f t="shared" si="2"/>
        <v>0</v>
      </c>
      <c r="I18" s="293">
        <f t="shared" si="1"/>
        <v>0</v>
      </c>
      <c r="J18" s="79"/>
      <c r="K18" s="79"/>
      <c r="L18" s="79"/>
      <c r="M18" s="79"/>
      <c r="N18" s="79"/>
      <c r="O18" s="79"/>
      <c r="P18" s="79"/>
      <c r="Q18" s="79"/>
    </row>
    <row r="19" spans="1:17" s="80" customFormat="1" ht="45" outlineLevel="1" x14ac:dyDescent="0.2">
      <c r="A19" s="104" t="s">
        <v>175</v>
      </c>
      <c r="B19" s="251" t="s">
        <v>18</v>
      </c>
      <c r="C19" s="38" t="s">
        <v>187</v>
      </c>
      <c r="D19" s="217" t="s">
        <v>188</v>
      </c>
      <c r="E19" s="207" t="s">
        <v>24</v>
      </c>
      <c r="F19" s="129">
        <f>'Memória de Cálculo'!G16</f>
        <v>0.25</v>
      </c>
      <c r="G19" s="502"/>
      <c r="H19" s="292">
        <f t="shared" si="2"/>
        <v>0</v>
      </c>
      <c r="I19" s="293">
        <f t="shared" si="1"/>
        <v>0</v>
      </c>
      <c r="J19" s="79"/>
      <c r="K19" s="79"/>
      <c r="L19" s="79"/>
      <c r="M19" s="79"/>
      <c r="N19" s="79"/>
      <c r="O19" s="79"/>
      <c r="P19" s="79"/>
      <c r="Q19" s="79"/>
    </row>
    <row r="20" spans="1:17" s="80" customFormat="1" ht="15" outlineLevel="1" x14ac:dyDescent="0.2">
      <c r="A20" s="104" t="s">
        <v>178</v>
      </c>
      <c r="B20" s="251" t="s">
        <v>18</v>
      </c>
      <c r="C20" s="207" t="s">
        <v>162</v>
      </c>
      <c r="D20" s="56" t="s">
        <v>167</v>
      </c>
      <c r="E20" s="207" t="s">
        <v>22</v>
      </c>
      <c r="F20" s="129">
        <f>'Memória de Cálculo'!G17</f>
        <v>66</v>
      </c>
      <c r="G20" s="503"/>
      <c r="H20" s="292">
        <f t="shared" si="2"/>
        <v>0</v>
      </c>
      <c r="I20" s="293">
        <f t="shared" si="1"/>
        <v>0</v>
      </c>
      <c r="J20" s="244"/>
      <c r="K20" s="79"/>
      <c r="L20" s="79"/>
      <c r="M20" s="79"/>
      <c r="N20" s="79"/>
      <c r="O20" s="79"/>
      <c r="P20" s="79"/>
      <c r="Q20" s="79"/>
    </row>
    <row r="21" spans="1:17" s="80" customFormat="1" ht="30" outlineLevel="1" x14ac:dyDescent="0.2">
      <c r="A21" s="104" t="s">
        <v>183</v>
      </c>
      <c r="B21" s="251" t="s">
        <v>18</v>
      </c>
      <c r="C21" s="50" t="s">
        <v>163</v>
      </c>
      <c r="D21" s="220" t="s">
        <v>166</v>
      </c>
      <c r="E21" s="207" t="s">
        <v>22</v>
      </c>
      <c r="F21" s="129">
        <f>'Memória de Cálculo'!G18</f>
        <v>66</v>
      </c>
      <c r="G21" s="504"/>
      <c r="H21" s="292">
        <f t="shared" si="2"/>
        <v>0</v>
      </c>
      <c r="I21" s="293">
        <f t="shared" si="1"/>
        <v>0</v>
      </c>
      <c r="J21" s="79"/>
      <c r="K21" s="79"/>
      <c r="L21" s="79"/>
      <c r="M21" s="79"/>
      <c r="N21" s="79"/>
      <c r="O21" s="79"/>
      <c r="P21" s="79"/>
      <c r="Q21" s="79"/>
    </row>
    <row r="22" spans="1:17" s="80" customFormat="1" ht="45" outlineLevel="1" x14ac:dyDescent="0.2">
      <c r="A22" s="104" t="s">
        <v>191</v>
      </c>
      <c r="B22" s="251" t="s">
        <v>18</v>
      </c>
      <c r="C22" s="203" t="s">
        <v>164</v>
      </c>
      <c r="D22" s="206" t="s">
        <v>165</v>
      </c>
      <c r="E22" s="207" t="s">
        <v>22</v>
      </c>
      <c r="F22" s="129">
        <f>'Memória de Cálculo'!G20</f>
        <v>5.28</v>
      </c>
      <c r="G22" s="505"/>
      <c r="H22" s="292">
        <f t="shared" si="2"/>
        <v>0</v>
      </c>
      <c r="I22" s="293">
        <f t="shared" si="1"/>
        <v>0</v>
      </c>
      <c r="J22" s="79"/>
      <c r="K22" s="79"/>
      <c r="L22" s="79"/>
      <c r="M22" s="79"/>
      <c r="N22" s="79"/>
      <c r="O22" s="79"/>
      <c r="P22" s="79"/>
      <c r="Q22" s="79"/>
    </row>
    <row r="23" spans="1:17" s="80" customFormat="1" ht="45" outlineLevel="1" x14ac:dyDescent="0.2">
      <c r="A23" s="104" t="s">
        <v>192</v>
      </c>
      <c r="B23" s="227" t="s">
        <v>155</v>
      </c>
      <c r="C23" s="203">
        <v>94990</v>
      </c>
      <c r="D23" s="56" t="s">
        <v>212</v>
      </c>
      <c r="E23" s="203" t="s">
        <v>24</v>
      </c>
      <c r="F23" s="129">
        <f>'Memória de Cálculo'!G20</f>
        <v>5.28</v>
      </c>
      <c r="G23" s="505"/>
      <c r="H23" s="292">
        <f t="shared" si="2"/>
        <v>0</v>
      </c>
      <c r="I23" s="293">
        <f t="shared" si="1"/>
        <v>0</v>
      </c>
      <c r="J23" s="244"/>
      <c r="K23" s="79"/>
      <c r="L23" s="79"/>
      <c r="M23" s="79"/>
      <c r="N23" s="79"/>
      <c r="O23" s="79"/>
      <c r="P23" s="79"/>
      <c r="Q23" s="79"/>
    </row>
    <row r="24" spans="1:17" s="80" customFormat="1" ht="30" outlineLevel="1" x14ac:dyDescent="0.2">
      <c r="A24" s="104" t="s">
        <v>193</v>
      </c>
      <c r="B24" s="251" t="s">
        <v>18</v>
      </c>
      <c r="C24" s="264" t="s">
        <v>160</v>
      </c>
      <c r="D24" s="56" t="s">
        <v>189</v>
      </c>
      <c r="E24" s="207" t="s">
        <v>22</v>
      </c>
      <c r="F24" s="53">
        <f>'Memória de Cálculo'!G21</f>
        <v>14</v>
      </c>
      <c r="G24" s="506"/>
      <c r="H24" s="292">
        <f t="shared" si="2"/>
        <v>0</v>
      </c>
      <c r="I24" s="293">
        <f t="shared" si="1"/>
        <v>0</v>
      </c>
      <c r="J24" s="244"/>
      <c r="K24" s="79"/>
      <c r="L24" s="79"/>
      <c r="M24" s="79"/>
      <c r="N24" s="79"/>
      <c r="O24" s="79"/>
      <c r="P24" s="79"/>
      <c r="Q24" s="79"/>
    </row>
    <row r="25" spans="1:17" s="80" customFormat="1" ht="30.75" outlineLevel="1" thickBot="1" x14ac:dyDescent="0.25">
      <c r="A25" s="68" t="s">
        <v>199</v>
      </c>
      <c r="B25" s="251" t="s">
        <v>18</v>
      </c>
      <c r="C25" s="280" t="s">
        <v>174</v>
      </c>
      <c r="D25" s="224" t="s">
        <v>190</v>
      </c>
      <c r="E25" s="207" t="s">
        <v>22</v>
      </c>
      <c r="F25" s="53">
        <f>'Memória de Cálculo'!G22</f>
        <v>28</v>
      </c>
      <c r="G25" s="507"/>
      <c r="H25" s="292">
        <f t="shared" si="2"/>
        <v>0</v>
      </c>
      <c r="I25" s="293">
        <f t="shared" si="1"/>
        <v>0</v>
      </c>
      <c r="J25" s="79"/>
      <c r="K25" s="79"/>
      <c r="L25" s="79"/>
      <c r="M25" s="79"/>
      <c r="N25" s="79"/>
      <c r="O25" s="79"/>
      <c r="P25" s="79"/>
      <c r="Q25" s="79"/>
    </row>
    <row r="26" spans="1:17" s="80" customFormat="1" ht="15.75" outlineLevel="1" thickBot="1" x14ac:dyDescent="0.25">
      <c r="A26" s="34">
        <v>3</v>
      </c>
      <c r="B26" s="319" t="s">
        <v>101</v>
      </c>
      <c r="C26" s="320"/>
      <c r="D26" s="320"/>
      <c r="E26" s="320"/>
      <c r="F26" s="320"/>
      <c r="G26" s="320"/>
      <c r="H26" s="321"/>
      <c r="I26" s="288">
        <f>SUM(I27:I32)</f>
        <v>0</v>
      </c>
      <c r="J26" s="79"/>
      <c r="K26" s="79"/>
      <c r="L26" s="79"/>
      <c r="M26" s="79"/>
      <c r="N26" s="79"/>
      <c r="O26" s="79"/>
      <c r="P26" s="79"/>
      <c r="Q26" s="79"/>
    </row>
    <row r="27" spans="1:17" s="80" customFormat="1" ht="30" outlineLevel="1" x14ac:dyDescent="0.2">
      <c r="A27" s="36" t="s">
        <v>125</v>
      </c>
      <c r="B27" s="254" t="s">
        <v>18</v>
      </c>
      <c r="C27" s="265" t="s">
        <v>116</v>
      </c>
      <c r="D27" s="37" t="s">
        <v>207</v>
      </c>
      <c r="E27" s="38" t="s">
        <v>28</v>
      </c>
      <c r="F27" s="39">
        <f>'Memória de Cálculo'!G24</f>
        <v>7.2</v>
      </c>
      <c r="G27" s="500"/>
      <c r="H27" s="294">
        <f>ROUND(G27+G27*$I$6,2)</f>
        <v>0</v>
      </c>
      <c r="I27" s="266">
        <f>ROUND(H27*F27,2)</f>
        <v>0</v>
      </c>
      <c r="J27" s="79"/>
      <c r="K27" s="79"/>
      <c r="L27" s="79"/>
      <c r="M27" s="79"/>
      <c r="N27" s="79"/>
      <c r="O27" s="79"/>
      <c r="P27" s="79"/>
      <c r="Q27" s="79"/>
    </row>
    <row r="28" spans="1:17" s="80" customFormat="1" ht="30" outlineLevel="1" x14ac:dyDescent="0.2">
      <c r="A28" s="68" t="s">
        <v>126</v>
      </c>
      <c r="B28" s="227" t="s">
        <v>155</v>
      </c>
      <c r="C28" s="264" t="s">
        <v>204</v>
      </c>
      <c r="D28" s="52" t="s">
        <v>205</v>
      </c>
      <c r="E28" s="207" t="s">
        <v>28</v>
      </c>
      <c r="F28" s="39">
        <f>'Memória de Cálculo'!G25</f>
        <v>46.96</v>
      </c>
      <c r="G28" s="506"/>
      <c r="H28" s="295">
        <f>ROUND(G28+G28*$I$6,2)</f>
        <v>0</v>
      </c>
      <c r="I28" s="232">
        <f>ROUND(H28*F28,2)</f>
        <v>0</v>
      </c>
      <c r="J28" s="79"/>
      <c r="K28" s="79"/>
      <c r="L28" s="79"/>
      <c r="M28" s="79"/>
      <c r="N28" s="79"/>
      <c r="O28" s="79"/>
      <c r="P28" s="79"/>
      <c r="Q28" s="79"/>
    </row>
    <row r="29" spans="1:17" s="80" customFormat="1" ht="60" outlineLevel="1" x14ac:dyDescent="0.2">
      <c r="A29" s="68" t="s">
        <v>127</v>
      </c>
      <c r="B29" s="227" t="s">
        <v>155</v>
      </c>
      <c r="C29" s="279" t="s">
        <v>202</v>
      </c>
      <c r="D29" s="228" t="s">
        <v>203</v>
      </c>
      <c r="E29" s="229" t="s">
        <v>28</v>
      </c>
      <c r="F29" s="39">
        <f>'Memória de Cálculo'!G26</f>
        <v>45.9</v>
      </c>
      <c r="G29" s="506"/>
      <c r="H29" s="295">
        <f t="shared" ref="H29:H33" si="3">ROUND(G29+G29*$I$6,2)</f>
        <v>0</v>
      </c>
      <c r="I29" s="232">
        <f t="shared" ref="I29:I33" si="4">ROUND(H29*F29,2)</f>
        <v>0</v>
      </c>
      <c r="J29" s="79"/>
      <c r="K29" s="79"/>
      <c r="L29" s="79"/>
      <c r="M29" s="79"/>
      <c r="N29" s="79"/>
      <c r="O29" s="79"/>
      <c r="P29" s="79"/>
      <c r="Q29" s="79"/>
    </row>
    <row r="30" spans="1:17" s="80" customFormat="1" ht="60" outlineLevel="1" x14ac:dyDescent="0.2">
      <c r="A30" s="68" t="s">
        <v>128</v>
      </c>
      <c r="B30" s="251" t="s">
        <v>18</v>
      </c>
      <c r="C30" s="264" t="s">
        <v>120</v>
      </c>
      <c r="D30" s="52" t="s">
        <v>138</v>
      </c>
      <c r="E30" s="207" t="s">
        <v>28</v>
      </c>
      <c r="F30" s="39">
        <f>'Memória de Cálculo'!G27</f>
        <v>11.2</v>
      </c>
      <c r="G30" s="506"/>
      <c r="H30" s="295">
        <f t="shared" si="3"/>
        <v>0</v>
      </c>
      <c r="I30" s="232">
        <f t="shared" si="4"/>
        <v>0</v>
      </c>
      <c r="J30" s="244"/>
      <c r="K30" s="79"/>
      <c r="L30" s="79"/>
      <c r="M30" s="79"/>
      <c r="N30" s="79"/>
      <c r="O30" s="79"/>
      <c r="P30" s="79"/>
      <c r="Q30" s="79"/>
    </row>
    <row r="31" spans="1:17" s="80" customFormat="1" ht="30" outlineLevel="1" x14ac:dyDescent="0.2">
      <c r="A31" s="68" t="s">
        <v>129</v>
      </c>
      <c r="B31" s="227" t="s">
        <v>18</v>
      </c>
      <c r="C31" s="279" t="s">
        <v>184</v>
      </c>
      <c r="D31" s="228" t="s">
        <v>185</v>
      </c>
      <c r="E31" s="229" t="s">
        <v>28</v>
      </c>
      <c r="F31" s="39">
        <f>'Memória de Cálculo'!G28</f>
        <v>429.33</v>
      </c>
      <c r="G31" s="506"/>
      <c r="H31" s="295">
        <f t="shared" si="3"/>
        <v>0</v>
      </c>
      <c r="I31" s="232">
        <f t="shared" si="4"/>
        <v>0</v>
      </c>
      <c r="J31" s="79"/>
      <c r="K31" s="79"/>
      <c r="L31" s="79"/>
      <c r="M31" s="79"/>
      <c r="N31" s="79"/>
      <c r="O31" s="79"/>
      <c r="P31" s="79"/>
      <c r="Q31" s="79"/>
    </row>
    <row r="32" spans="1:17" s="80" customFormat="1" ht="30" outlineLevel="1" x14ac:dyDescent="0.2">
      <c r="A32" s="68" t="s">
        <v>130</v>
      </c>
      <c r="B32" s="251" t="s">
        <v>155</v>
      </c>
      <c r="C32" s="264" t="s">
        <v>158</v>
      </c>
      <c r="D32" s="52" t="s">
        <v>159</v>
      </c>
      <c r="E32" s="207" t="s">
        <v>22</v>
      </c>
      <c r="F32" s="39">
        <f>'Memória de Cálculo'!G29</f>
        <v>4.2</v>
      </c>
      <c r="G32" s="506"/>
      <c r="H32" s="295">
        <f t="shared" si="3"/>
        <v>0</v>
      </c>
      <c r="I32" s="232">
        <f t="shared" si="4"/>
        <v>0</v>
      </c>
      <c r="J32" s="79"/>
      <c r="K32" s="79"/>
      <c r="L32" s="79"/>
      <c r="M32" s="79"/>
      <c r="N32" s="79"/>
      <c r="O32" s="79"/>
      <c r="P32" s="79"/>
      <c r="Q32" s="79"/>
    </row>
    <row r="33" spans="1:17" s="80" customFormat="1" ht="45.75" outlineLevel="1" thickBot="1" x14ac:dyDescent="0.25">
      <c r="A33" s="68" t="s">
        <v>131</v>
      </c>
      <c r="B33" s="222" t="s">
        <v>215</v>
      </c>
      <c r="C33" s="225" t="s">
        <v>78</v>
      </c>
      <c r="D33" s="52" t="s">
        <v>219</v>
      </c>
      <c r="E33" s="207" t="s">
        <v>96</v>
      </c>
      <c r="F33" s="39">
        <f>'Memória de Cálculo'!G30</f>
        <v>1</v>
      </c>
      <c r="G33" s="507"/>
      <c r="H33" s="295">
        <f t="shared" si="3"/>
        <v>0</v>
      </c>
      <c r="I33" s="232">
        <f t="shared" si="4"/>
        <v>0</v>
      </c>
      <c r="J33" s="79"/>
      <c r="K33" s="79"/>
      <c r="L33" s="79"/>
      <c r="M33" s="79"/>
      <c r="N33" s="79"/>
      <c r="O33" s="79"/>
      <c r="P33" s="79"/>
      <c r="Q33" s="79"/>
    </row>
    <row r="34" spans="1:17" s="80" customFormat="1" ht="19.5" customHeight="1" outlineLevel="1" thickBot="1" x14ac:dyDescent="0.25">
      <c r="A34" s="49">
        <v>4</v>
      </c>
      <c r="B34" s="209"/>
      <c r="C34" s="317" t="s">
        <v>102</v>
      </c>
      <c r="D34" s="317"/>
      <c r="E34" s="317"/>
      <c r="F34" s="317"/>
      <c r="G34" s="317"/>
      <c r="H34" s="318"/>
      <c r="I34" s="288">
        <f>SUM(I35:I36)</f>
        <v>0</v>
      </c>
      <c r="J34" s="79"/>
      <c r="K34" s="79"/>
      <c r="L34" s="79"/>
      <c r="M34" s="79"/>
      <c r="N34" s="79"/>
      <c r="O34" s="79"/>
      <c r="P34" s="79"/>
      <c r="Q34" s="79"/>
    </row>
    <row r="35" spans="1:17" s="80" customFormat="1" ht="120" outlineLevel="1" x14ac:dyDescent="0.2">
      <c r="A35" s="36" t="s">
        <v>132</v>
      </c>
      <c r="B35" s="254" t="s">
        <v>18</v>
      </c>
      <c r="C35" s="254" t="s">
        <v>118</v>
      </c>
      <c r="D35" s="208" t="s">
        <v>119</v>
      </c>
      <c r="E35" s="50" t="s">
        <v>29</v>
      </c>
      <c r="F35" s="39">
        <v>12</v>
      </c>
      <c r="G35" s="508"/>
      <c r="H35" s="296">
        <f>ROUND(G35+G35*$I$6,2)</f>
        <v>0</v>
      </c>
      <c r="I35" s="266">
        <f>ROUND(H35*F35,2)</f>
        <v>0</v>
      </c>
      <c r="J35" s="79"/>
      <c r="K35" s="79"/>
      <c r="L35" s="79"/>
      <c r="M35" s="79"/>
      <c r="N35" s="79"/>
      <c r="O35" s="79"/>
      <c r="P35" s="79"/>
      <c r="Q35" s="79"/>
    </row>
    <row r="36" spans="1:17" s="80" customFormat="1" ht="30.75" outlineLevel="1" thickBot="1" x14ac:dyDescent="0.25">
      <c r="A36" s="69" t="s">
        <v>133</v>
      </c>
      <c r="B36" s="230" t="s">
        <v>18</v>
      </c>
      <c r="C36" s="252" t="s">
        <v>117</v>
      </c>
      <c r="D36" s="65" t="s">
        <v>139</v>
      </c>
      <c r="E36" s="203" t="s">
        <v>29</v>
      </c>
      <c r="F36" s="128">
        <v>12</v>
      </c>
      <c r="G36" s="509"/>
      <c r="H36" s="296">
        <f>ROUND(G36+G36*$I$6,2)</f>
        <v>0</v>
      </c>
      <c r="I36" s="266">
        <f>ROUND(H36*F36,2)</f>
        <v>0</v>
      </c>
      <c r="J36" s="79"/>
      <c r="K36" s="79"/>
      <c r="L36" s="79"/>
      <c r="M36" s="79"/>
      <c r="N36" s="79"/>
      <c r="O36" s="79"/>
      <c r="P36" s="79"/>
      <c r="Q36" s="79"/>
    </row>
    <row r="37" spans="1:17" s="80" customFormat="1" ht="15.75" outlineLevel="1" thickBot="1" x14ac:dyDescent="0.25">
      <c r="A37" s="34">
        <v>5</v>
      </c>
      <c r="B37" s="319" t="s">
        <v>103</v>
      </c>
      <c r="C37" s="320"/>
      <c r="D37" s="320"/>
      <c r="E37" s="320"/>
      <c r="F37" s="320"/>
      <c r="G37" s="320"/>
      <c r="H37" s="321"/>
      <c r="I37" s="288">
        <f>SUM(I38:I43)</f>
        <v>0</v>
      </c>
      <c r="J37" s="79"/>
      <c r="K37" s="79"/>
      <c r="L37" s="79"/>
      <c r="M37" s="79"/>
      <c r="N37" s="79"/>
      <c r="O37" s="79"/>
      <c r="P37" s="79"/>
      <c r="Q37" s="79"/>
    </row>
    <row r="38" spans="1:17" s="80" customFormat="1" ht="45" outlineLevel="1" x14ac:dyDescent="0.2">
      <c r="A38" s="130" t="s">
        <v>25</v>
      </c>
      <c r="B38" s="230" t="s">
        <v>18</v>
      </c>
      <c r="C38" s="281" t="s">
        <v>106</v>
      </c>
      <c r="D38" s="65" t="s">
        <v>107</v>
      </c>
      <c r="E38" s="203" t="s">
        <v>29</v>
      </c>
      <c r="F38" s="67">
        <v>6</v>
      </c>
      <c r="G38" s="509"/>
      <c r="H38" s="292">
        <f>ROUND(G38+G38*$I$6,2)</f>
        <v>0</v>
      </c>
      <c r="I38" s="293">
        <f>ROUND(H38*F38,2)</f>
        <v>0</v>
      </c>
      <c r="J38" s="79"/>
      <c r="K38" s="79"/>
      <c r="L38" s="79"/>
      <c r="M38" s="79"/>
      <c r="N38" s="79"/>
      <c r="O38" s="79"/>
      <c r="P38" s="79"/>
      <c r="Q38" s="79"/>
    </row>
    <row r="39" spans="1:17" s="80" customFormat="1" ht="45" outlineLevel="1" x14ac:dyDescent="0.2">
      <c r="A39" s="104" t="s">
        <v>26</v>
      </c>
      <c r="B39" s="230" t="s">
        <v>18</v>
      </c>
      <c r="C39" s="281" t="s">
        <v>108</v>
      </c>
      <c r="D39" s="65" t="s">
        <v>109</v>
      </c>
      <c r="E39" s="203" t="s">
        <v>29</v>
      </c>
      <c r="F39" s="67">
        <v>6</v>
      </c>
      <c r="G39" s="509"/>
      <c r="H39" s="292">
        <f t="shared" ref="H39:H43" si="5">ROUND(G39+G39*$I$6,2)</f>
        <v>0</v>
      </c>
      <c r="I39" s="293">
        <f t="shared" ref="I39:I43" si="6">ROUND(H39*F39,2)</f>
        <v>0</v>
      </c>
      <c r="J39" s="79"/>
      <c r="K39" s="79"/>
      <c r="L39" s="79"/>
      <c r="M39" s="79"/>
      <c r="N39" s="79"/>
      <c r="O39" s="79"/>
      <c r="P39" s="79"/>
      <c r="Q39" s="79"/>
    </row>
    <row r="40" spans="1:17" s="80" customFormat="1" ht="45" outlineLevel="1" x14ac:dyDescent="0.2">
      <c r="A40" s="104" t="s">
        <v>134</v>
      </c>
      <c r="B40" s="230" t="s">
        <v>18</v>
      </c>
      <c r="C40" s="281" t="s">
        <v>110</v>
      </c>
      <c r="D40" s="65" t="s">
        <v>111</v>
      </c>
      <c r="E40" s="203" t="s">
        <v>29</v>
      </c>
      <c r="F40" s="67">
        <v>4</v>
      </c>
      <c r="G40" s="509"/>
      <c r="H40" s="292">
        <f t="shared" si="5"/>
        <v>0</v>
      </c>
      <c r="I40" s="293">
        <f t="shared" si="6"/>
        <v>0</v>
      </c>
      <c r="J40" s="79"/>
      <c r="K40" s="79"/>
      <c r="L40" s="79"/>
      <c r="M40" s="79"/>
      <c r="N40" s="79"/>
      <c r="O40" s="79"/>
      <c r="P40" s="79"/>
      <c r="Q40" s="79"/>
    </row>
    <row r="41" spans="1:17" s="80" customFormat="1" ht="45" outlineLevel="1" x14ac:dyDescent="0.2">
      <c r="A41" s="104" t="s">
        <v>135</v>
      </c>
      <c r="B41" s="230" t="s">
        <v>194</v>
      </c>
      <c r="C41" s="204" t="s">
        <v>78</v>
      </c>
      <c r="D41" s="205" t="s">
        <v>115</v>
      </c>
      <c r="E41" s="203" t="s">
        <v>29</v>
      </c>
      <c r="F41" s="67">
        <v>6</v>
      </c>
      <c r="G41" s="509"/>
      <c r="H41" s="292">
        <f t="shared" si="5"/>
        <v>0</v>
      </c>
      <c r="I41" s="293">
        <f t="shared" si="6"/>
        <v>0</v>
      </c>
      <c r="J41" s="79"/>
      <c r="K41" s="79"/>
      <c r="L41" s="79"/>
      <c r="M41" s="79"/>
      <c r="N41" s="79"/>
      <c r="O41" s="79"/>
      <c r="P41" s="79"/>
      <c r="Q41" s="79"/>
    </row>
    <row r="42" spans="1:17" s="80" customFormat="1" ht="45" outlineLevel="1" x14ac:dyDescent="0.2">
      <c r="A42" s="104" t="s">
        <v>122</v>
      </c>
      <c r="B42" s="230" t="s">
        <v>201</v>
      </c>
      <c r="C42" s="204" t="s">
        <v>78</v>
      </c>
      <c r="D42" s="205" t="s">
        <v>112</v>
      </c>
      <c r="E42" s="203" t="s">
        <v>29</v>
      </c>
      <c r="F42" s="67">
        <v>1</v>
      </c>
      <c r="G42" s="509"/>
      <c r="H42" s="292">
        <f t="shared" si="5"/>
        <v>0</v>
      </c>
      <c r="I42" s="293">
        <f t="shared" si="6"/>
        <v>0</v>
      </c>
      <c r="J42" s="79"/>
      <c r="K42" s="79"/>
      <c r="L42" s="79"/>
      <c r="M42" s="79"/>
      <c r="N42" s="79"/>
      <c r="O42" s="79"/>
      <c r="P42" s="79"/>
      <c r="Q42" s="79"/>
    </row>
    <row r="43" spans="1:17" s="80" customFormat="1" ht="45.75" outlineLevel="1" thickBot="1" x14ac:dyDescent="0.25">
      <c r="A43" s="282" t="s">
        <v>136</v>
      </c>
      <c r="B43" s="230" t="s">
        <v>18</v>
      </c>
      <c r="C43" s="281" t="s">
        <v>113</v>
      </c>
      <c r="D43" s="65" t="s">
        <v>114</v>
      </c>
      <c r="E43" s="203" t="s">
        <v>29</v>
      </c>
      <c r="F43" s="67">
        <v>1</v>
      </c>
      <c r="G43" s="509"/>
      <c r="H43" s="292">
        <f t="shared" si="5"/>
        <v>0</v>
      </c>
      <c r="I43" s="293">
        <f t="shared" si="6"/>
        <v>0</v>
      </c>
      <c r="J43" s="79"/>
      <c r="K43" s="79"/>
      <c r="L43" s="79"/>
      <c r="M43" s="79"/>
      <c r="N43" s="79"/>
      <c r="O43" s="79"/>
      <c r="P43" s="79"/>
      <c r="Q43" s="79"/>
    </row>
    <row r="44" spans="1:17" s="80" customFormat="1" ht="15.75" outlineLevel="1" thickBot="1" x14ac:dyDescent="0.25">
      <c r="A44" s="34">
        <v>6</v>
      </c>
      <c r="B44" s="319" t="s">
        <v>104</v>
      </c>
      <c r="C44" s="320"/>
      <c r="D44" s="320"/>
      <c r="E44" s="320"/>
      <c r="F44" s="320"/>
      <c r="G44" s="320"/>
      <c r="H44" s="321"/>
      <c r="I44" s="288">
        <f>SUM(I45:I45)</f>
        <v>0</v>
      </c>
      <c r="J44" s="79"/>
      <c r="K44" s="79"/>
      <c r="L44" s="79"/>
      <c r="M44" s="79"/>
      <c r="N44" s="79"/>
      <c r="O44" s="79"/>
      <c r="P44" s="79"/>
      <c r="Q44" s="79"/>
    </row>
    <row r="45" spans="1:17" s="80" customFormat="1" ht="30.75" outlineLevel="1" thickBot="1" x14ac:dyDescent="0.25">
      <c r="A45" s="36" t="s">
        <v>27</v>
      </c>
      <c r="B45" s="254" t="s">
        <v>206</v>
      </c>
      <c r="C45" s="210" t="s">
        <v>78</v>
      </c>
      <c r="D45" s="37" t="s">
        <v>121</v>
      </c>
      <c r="E45" s="203" t="s">
        <v>29</v>
      </c>
      <c r="F45" s="39">
        <v>6</v>
      </c>
      <c r="G45" s="500"/>
      <c r="H45" s="296">
        <f>ROUND(G45+G45*$I$6,2)</f>
        <v>0</v>
      </c>
      <c r="I45" s="266">
        <f>ROUND(H45*F45,2)</f>
        <v>0</v>
      </c>
      <c r="J45" s="79"/>
      <c r="K45" s="79"/>
      <c r="L45" s="79"/>
      <c r="M45" s="79"/>
      <c r="N45" s="79"/>
      <c r="O45" s="79"/>
      <c r="P45" s="79"/>
      <c r="Q45" s="79"/>
    </row>
    <row r="46" spans="1:17" s="80" customFormat="1" ht="15.75" outlineLevel="1" thickBot="1" x14ac:dyDescent="0.25">
      <c r="A46" s="34">
        <v>7</v>
      </c>
      <c r="B46" s="319" t="s">
        <v>105</v>
      </c>
      <c r="C46" s="320"/>
      <c r="D46" s="320"/>
      <c r="E46" s="320"/>
      <c r="F46" s="320"/>
      <c r="G46" s="320"/>
      <c r="H46" s="321"/>
      <c r="I46" s="288">
        <f>SUM(I47+I55)</f>
        <v>0</v>
      </c>
      <c r="J46" s="79"/>
      <c r="K46" s="79"/>
      <c r="L46" s="79"/>
      <c r="M46" s="79"/>
      <c r="N46" s="79"/>
      <c r="O46" s="79"/>
      <c r="P46" s="79"/>
      <c r="Q46" s="79"/>
    </row>
    <row r="47" spans="1:17" s="80" customFormat="1" ht="15.75" outlineLevel="1" thickBot="1" x14ac:dyDescent="0.25">
      <c r="A47" s="211" t="s">
        <v>30</v>
      </c>
      <c r="B47" s="327" t="s">
        <v>144</v>
      </c>
      <c r="C47" s="320"/>
      <c r="D47" s="320"/>
      <c r="E47" s="320"/>
      <c r="F47" s="320"/>
      <c r="G47" s="320"/>
      <c r="H47" s="321"/>
      <c r="I47" s="288">
        <f>SUM(I48:I54)</f>
        <v>0</v>
      </c>
      <c r="J47" s="79"/>
      <c r="K47" s="79"/>
      <c r="L47" s="79"/>
      <c r="M47" s="79"/>
      <c r="N47" s="79"/>
      <c r="O47" s="79"/>
      <c r="P47" s="79"/>
      <c r="Q47" s="79"/>
    </row>
    <row r="48" spans="1:17" s="80" customFormat="1" ht="30" outlineLevel="1" x14ac:dyDescent="0.2">
      <c r="A48" s="283" t="s">
        <v>148</v>
      </c>
      <c r="B48" s="250" t="s">
        <v>155</v>
      </c>
      <c r="C48" s="253">
        <v>97622</v>
      </c>
      <c r="D48" s="131" t="s">
        <v>208</v>
      </c>
      <c r="E48" s="253" t="s">
        <v>24</v>
      </c>
      <c r="F48" s="218">
        <f>'Memória de Cálculo'!G45</f>
        <v>0.17</v>
      </c>
      <c r="G48" s="502"/>
      <c r="H48" s="297">
        <f>ROUND(G48+G48*$I$6,2)</f>
        <v>0</v>
      </c>
      <c r="I48" s="298">
        <f>ROUND(H48*F48,2)</f>
        <v>0</v>
      </c>
      <c r="J48" s="244"/>
      <c r="K48" s="79"/>
      <c r="L48" s="79"/>
      <c r="M48" s="79"/>
      <c r="N48" s="79"/>
      <c r="O48" s="79"/>
      <c r="P48" s="79"/>
      <c r="Q48" s="79"/>
    </row>
    <row r="49" spans="1:17" s="80" customFormat="1" ht="30" outlineLevel="1" x14ac:dyDescent="0.2">
      <c r="A49" s="283" t="s">
        <v>149</v>
      </c>
      <c r="B49" s="254" t="s">
        <v>155</v>
      </c>
      <c r="C49" s="38">
        <v>95875</v>
      </c>
      <c r="D49" s="217" t="s">
        <v>209</v>
      </c>
      <c r="E49" s="207" t="s">
        <v>152</v>
      </c>
      <c r="F49" s="218">
        <f>'Memória de Cálculo'!G46</f>
        <v>0.75</v>
      </c>
      <c r="G49" s="502"/>
      <c r="H49" s="292">
        <f>ROUND(G49+G49*$I$6,2)</f>
        <v>0</v>
      </c>
      <c r="I49" s="293">
        <f>ROUND(H49*F49,2)</f>
        <v>0</v>
      </c>
      <c r="J49" s="79"/>
      <c r="K49" s="79"/>
      <c r="L49" s="79"/>
      <c r="M49" s="79"/>
      <c r="N49" s="79"/>
      <c r="O49" s="79"/>
      <c r="P49" s="79"/>
      <c r="Q49" s="79"/>
    </row>
    <row r="50" spans="1:17" s="80" customFormat="1" ht="45" outlineLevel="1" x14ac:dyDescent="0.2">
      <c r="A50" s="283" t="s">
        <v>150</v>
      </c>
      <c r="B50" s="251" t="s">
        <v>18</v>
      </c>
      <c r="C50" s="207" t="s">
        <v>145</v>
      </c>
      <c r="D50" s="56" t="s">
        <v>146</v>
      </c>
      <c r="E50" s="207" t="s">
        <v>24</v>
      </c>
      <c r="F50" s="129">
        <f>'Memória de Cálculo'!G47</f>
        <v>0.02</v>
      </c>
      <c r="G50" s="503"/>
      <c r="H50" s="292">
        <f t="shared" ref="H50:H54" si="7">ROUND(G50+G50*$I$6,2)</f>
        <v>0</v>
      </c>
      <c r="I50" s="293">
        <f t="shared" ref="I50:I54" si="8">ROUND(H50*F50,2)</f>
        <v>0</v>
      </c>
      <c r="J50" s="79"/>
      <c r="K50" s="79"/>
      <c r="L50" s="79"/>
      <c r="M50" s="79"/>
      <c r="N50" s="79"/>
      <c r="O50" s="79"/>
      <c r="P50" s="79"/>
      <c r="Q50" s="79"/>
    </row>
    <row r="51" spans="1:17" s="80" customFormat="1" ht="30" outlineLevel="1" x14ac:dyDescent="0.2">
      <c r="A51" s="283" t="s">
        <v>151</v>
      </c>
      <c r="B51" s="251" t="s">
        <v>214</v>
      </c>
      <c r="C51" s="207" t="s">
        <v>78</v>
      </c>
      <c r="D51" s="56" t="s">
        <v>156</v>
      </c>
      <c r="E51" s="207" t="s">
        <v>96</v>
      </c>
      <c r="F51" s="129">
        <f>'Memória de Cálculo'!G48</f>
        <v>6</v>
      </c>
      <c r="G51" s="503"/>
      <c r="H51" s="292">
        <f t="shared" si="7"/>
        <v>0</v>
      </c>
      <c r="I51" s="293">
        <f t="shared" si="8"/>
        <v>0</v>
      </c>
      <c r="J51" s="79"/>
      <c r="K51" s="79"/>
      <c r="L51" s="79"/>
      <c r="M51" s="79"/>
      <c r="N51" s="79"/>
      <c r="O51" s="79"/>
      <c r="P51" s="79"/>
      <c r="Q51" s="79"/>
    </row>
    <row r="52" spans="1:17" s="80" customFormat="1" ht="15" outlineLevel="1" x14ac:dyDescent="0.2">
      <c r="A52" s="283" t="s">
        <v>153</v>
      </c>
      <c r="B52" s="251" t="s">
        <v>18</v>
      </c>
      <c r="C52" s="207" t="s">
        <v>232</v>
      </c>
      <c r="D52" s="56" t="s">
        <v>233</v>
      </c>
      <c r="E52" s="50" t="s">
        <v>22</v>
      </c>
      <c r="F52" s="129">
        <f>'Memória de Cálculo'!G49</f>
        <v>13.2</v>
      </c>
      <c r="G52" s="503"/>
      <c r="H52" s="292">
        <f t="shared" si="7"/>
        <v>0</v>
      </c>
      <c r="I52" s="293">
        <f t="shared" si="8"/>
        <v>0</v>
      </c>
      <c r="J52" s="79"/>
      <c r="K52" s="79"/>
      <c r="L52" s="79"/>
      <c r="M52" s="79"/>
      <c r="N52" s="79"/>
      <c r="O52" s="79"/>
      <c r="P52" s="79"/>
      <c r="Q52" s="79"/>
    </row>
    <row r="53" spans="1:17" s="80" customFormat="1" ht="30" outlineLevel="1" x14ac:dyDescent="0.2">
      <c r="A53" s="283" t="s">
        <v>154</v>
      </c>
      <c r="B53" s="251" t="s">
        <v>18</v>
      </c>
      <c r="C53" s="207" t="s">
        <v>179</v>
      </c>
      <c r="D53" s="56" t="s">
        <v>180</v>
      </c>
      <c r="E53" s="207" t="s">
        <v>22</v>
      </c>
      <c r="F53" s="129">
        <f>'Memória de Cálculo'!G50</f>
        <v>13.2</v>
      </c>
      <c r="G53" s="503"/>
      <c r="H53" s="292">
        <f t="shared" si="7"/>
        <v>0</v>
      </c>
      <c r="I53" s="293">
        <f t="shared" si="8"/>
        <v>0</v>
      </c>
      <c r="J53" s="79"/>
      <c r="K53" s="79"/>
      <c r="L53" s="79"/>
      <c r="M53" s="79"/>
      <c r="N53" s="79"/>
      <c r="O53" s="79"/>
      <c r="P53" s="79"/>
      <c r="Q53" s="79"/>
    </row>
    <row r="54" spans="1:17" s="80" customFormat="1" ht="30.75" outlineLevel="1" thickBot="1" x14ac:dyDescent="0.25">
      <c r="A54" s="284" t="s">
        <v>234</v>
      </c>
      <c r="B54" s="267" t="s">
        <v>239</v>
      </c>
      <c r="C54" s="268" t="s">
        <v>78</v>
      </c>
      <c r="D54" s="208" t="s">
        <v>157</v>
      </c>
      <c r="E54" s="269" t="s">
        <v>96</v>
      </c>
      <c r="F54" s="270">
        <f>'Memória de Cálculo'!G51</f>
        <v>6</v>
      </c>
      <c r="G54" s="503"/>
      <c r="H54" s="292">
        <f t="shared" si="7"/>
        <v>0</v>
      </c>
      <c r="I54" s="293">
        <f t="shared" si="8"/>
        <v>0</v>
      </c>
      <c r="J54" s="79"/>
      <c r="K54" s="79"/>
      <c r="L54" s="79"/>
      <c r="M54" s="79"/>
      <c r="N54" s="79"/>
      <c r="O54" s="79"/>
      <c r="P54" s="79"/>
      <c r="Q54" s="79"/>
    </row>
    <row r="55" spans="1:17" s="80" customFormat="1" ht="15.75" outlineLevel="1" thickBot="1" x14ac:dyDescent="0.25">
      <c r="A55" s="49" t="s">
        <v>137</v>
      </c>
      <c r="B55" s="328" t="s">
        <v>143</v>
      </c>
      <c r="C55" s="317"/>
      <c r="D55" s="317"/>
      <c r="E55" s="317"/>
      <c r="F55" s="317"/>
      <c r="G55" s="317"/>
      <c r="H55" s="317"/>
      <c r="I55" s="288">
        <f>SUM(I56:I56)</f>
        <v>0</v>
      </c>
      <c r="J55" s="79"/>
      <c r="K55" s="79"/>
      <c r="L55" s="79"/>
      <c r="M55" s="79"/>
      <c r="N55" s="79"/>
      <c r="O55" s="79"/>
      <c r="P55" s="79"/>
      <c r="Q55" s="79"/>
    </row>
    <row r="56" spans="1:17" s="80" customFormat="1" ht="45.75" outlineLevel="1" thickBot="1" x14ac:dyDescent="0.25">
      <c r="A56" s="272" t="s">
        <v>231</v>
      </c>
      <c r="B56" s="271" t="s">
        <v>241</v>
      </c>
      <c r="C56" s="275" t="s">
        <v>78</v>
      </c>
      <c r="D56" s="276" t="s">
        <v>246</v>
      </c>
      <c r="E56" s="277" t="s">
        <v>96</v>
      </c>
      <c r="F56" s="278">
        <f>'Memória de Cálculo'!G53</f>
        <v>6</v>
      </c>
      <c r="G56" s="510"/>
      <c r="H56" s="299">
        <f>ROUND(G56+G56*$I$6,2)</f>
        <v>0</v>
      </c>
      <c r="I56" s="300">
        <f>ROUND(H56*F56,2)</f>
        <v>0</v>
      </c>
      <c r="J56" s="79"/>
      <c r="K56" s="79"/>
      <c r="L56" s="79"/>
      <c r="M56" s="79"/>
      <c r="N56" s="79"/>
      <c r="O56" s="79"/>
      <c r="P56" s="79"/>
      <c r="Q56" s="79"/>
    </row>
    <row r="57" spans="1:17" s="80" customFormat="1" ht="21" customHeight="1" outlineLevel="1" thickBot="1" x14ac:dyDescent="0.25">
      <c r="A57" s="49">
        <v>8</v>
      </c>
      <c r="B57" s="322" t="s">
        <v>32</v>
      </c>
      <c r="C57" s="323"/>
      <c r="D57" s="323"/>
      <c r="E57" s="323"/>
      <c r="F57" s="323"/>
      <c r="G57" s="323"/>
      <c r="H57" s="324"/>
      <c r="I57" s="301">
        <f>SUM(I58)</f>
        <v>0</v>
      </c>
      <c r="J57" s="79"/>
      <c r="K57" s="79"/>
      <c r="L57" s="79"/>
      <c r="M57" s="79"/>
      <c r="N57" s="79"/>
      <c r="O57" s="79"/>
      <c r="P57" s="79"/>
      <c r="Q57" s="79"/>
    </row>
    <row r="58" spans="1:17" s="80" customFormat="1" ht="15.75" outlineLevel="1" thickBot="1" x14ac:dyDescent="0.25">
      <c r="A58" s="36" t="s">
        <v>31</v>
      </c>
      <c r="B58" s="252" t="s">
        <v>155</v>
      </c>
      <c r="C58" s="226" t="s">
        <v>250</v>
      </c>
      <c r="D58" s="303" t="s">
        <v>249</v>
      </c>
      <c r="E58" s="50" t="s">
        <v>22</v>
      </c>
      <c r="F58" s="51">
        <f>'Memória de Cálculo'!G55</f>
        <v>1100.67</v>
      </c>
      <c r="G58" s="510"/>
      <c r="H58" s="297">
        <f>ROUND(G58+G58*$I$6,2)</f>
        <v>0</v>
      </c>
      <c r="I58" s="298">
        <f>ROUND(H58*F58,2)</f>
        <v>0</v>
      </c>
      <c r="J58" s="79"/>
      <c r="K58" s="79"/>
      <c r="L58" s="79"/>
      <c r="M58" s="79"/>
      <c r="N58" s="79"/>
      <c r="O58" s="79"/>
      <c r="P58" s="79"/>
      <c r="Q58" s="79"/>
    </row>
    <row r="59" spans="1:17" s="80" customFormat="1" ht="33.75" customHeight="1" outlineLevel="1" thickBot="1" x14ac:dyDescent="0.25">
      <c r="A59" s="312" t="s">
        <v>33</v>
      </c>
      <c r="B59" s="313"/>
      <c r="C59" s="314"/>
      <c r="D59" s="314"/>
      <c r="E59" s="314"/>
      <c r="F59" s="314"/>
      <c r="G59" s="314"/>
      <c r="H59" s="315"/>
      <c r="I59" s="302">
        <f>I57+I11+I44+I37+I34+I26+I46+I9</f>
        <v>0</v>
      </c>
      <c r="J59" s="79"/>
      <c r="K59" s="79"/>
      <c r="L59" s="79"/>
      <c r="M59" s="79"/>
      <c r="N59" s="79"/>
      <c r="O59" s="79"/>
      <c r="P59" s="79"/>
      <c r="Q59" s="79"/>
    </row>
    <row r="60" spans="1:17" s="80" customFormat="1" ht="15" outlineLevel="1" x14ac:dyDescent="0.2">
      <c r="A60" s="86"/>
      <c r="B60" s="177"/>
      <c r="C60" s="177"/>
      <c r="D60" s="178"/>
      <c r="E60" s="177"/>
      <c r="F60" s="177"/>
      <c r="G60" s="177"/>
      <c r="H60" s="177"/>
      <c r="I60" s="87"/>
      <c r="J60" s="79"/>
      <c r="K60" s="79"/>
      <c r="L60" s="79"/>
      <c r="M60" s="79"/>
      <c r="N60" s="79"/>
      <c r="O60" s="79"/>
      <c r="P60" s="79"/>
      <c r="Q60" s="79"/>
    </row>
    <row r="61" spans="1:17" s="80" customFormat="1" ht="33.75" customHeight="1" outlineLevel="1" x14ac:dyDescent="0.2">
      <c r="A61" s="89"/>
      <c r="B61" s="247"/>
      <c r="C61" s="247"/>
      <c r="D61" s="179"/>
      <c r="E61" s="247"/>
      <c r="F61" s="325" t="s">
        <v>258</v>
      </c>
      <c r="G61" s="325"/>
      <c r="H61" s="325"/>
      <c r="I61" s="326"/>
      <c r="J61" s="79"/>
      <c r="K61" s="79"/>
      <c r="L61" s="79"/>
      <c r="M61" s="79"/>
      <c r="N61" s="79"/>
      <c r="O61" s="79"/>
      <c r="P61" s="79"/>
      <c r="Q61" s="79"/>
    </row>
    <row r="62" spans="1:17" s="80" customFormat="1" ht="15" outlineLevel="1" x14ac:dyDescent="0.2">
      <c r="A62" s="89"/>
      <c r="B62" s="247"/>
      <c r="C62" s="247"/>
      <c r="D62" s="180"/>
      <c r="E62" s="247"/>
      <c r="F62" s="247"/>
      <c r="G62" s="316"/>
      <c r="H62" s="316"/>
      <c r="I62" s="91"/>
      <c r="J62" s="79"/>
      <c r="K62" s="79"/>
      <c r="L62" s="79"/>
      <c r="M62" s="79"/>
      <c r="N62" s="79"/>
      <c r="O62" s="79"/>
      <c r="P62" s="79"/>
      <c r="Q62" s="79"/>
    </row>
    <row r="63" spans="1:17" s="80" customFormat="1" ht="15" outlineLevel="1" x14ac:dyDescent="0.2">
      <c r="A63" s="89"/>
      <c r="B63" s="247"/>
      <c r="C63" s="248"/>
      <c r="D63" s="181"/>
      <c r="E63" s="182"/>
      <c r="F63" s="182"/>
      <c r="G63" s="182"/>
      <c r="H63" s="182"/>
      <c r="I63" s="183"/>
      <c r="J63" s="79"/>
      <c r="K63" s="79"/>
      <c r="L63" s="79"/>
      <c r="M63" s="79"/>
      <c r="N63" s="79"/>
      <c r="O63" s="79"/>
      <c r="P63" s="79"/>
      <c r="Q63" s="79"/>
    </row>
    <row r="64" spans="1:17" s="80" customFormat="1" ht="15" outlineLevel="1" x14ac:dyDescent="0.2">
      <c r="A64" s="89"/>
      <c r="B64" s="247"/>
      <c r="C64" s="247"/>
      <c r="D64" s="511" t="s">
        <v>255</v>
      </c>
      <c r="E64" s="247"/>
      <c r="F64" s="182"/>
      <c r="G64" s="247"/>
      <c r="H64" s="247"/>
      <c r="I64" s="95"/>
      <c r="J64" s="79"/>
      <c r="K64" s="79"/>
      <c r="L64" s="79"/>
      <c r="M64" s="79"/>
      <c r="N64" s="79"/>
      <c r="O64" s="79"/>
      <c r="P64" s="79"/>
      <c r="Q64" s="79"/>
    </row>
    <row r="65" spans="1:17" s="80" customFormat="1" ht="15" outlineLevel="1" x14ac:dyDescent="0.2">
      <c r="A65" s="89"/>
      <c r="B65" s="247"/>
      <c r="C65" s="248"/>
      <c r="D65" s="512" t="s">
        <v>256</v>
      </c>
      <c r="E65" s="248"/>
      <c r="F65" s="247"/>
      <c r="G65" s="247"/>
      <c r="H65" s="247"/>
      <c r="I65" s="95"/>
      <c r="J65" s="79"/>
      <c r="K65" s="79"/>
      <c r="L65" s="79"/>
      <c r="M65" s="79"/>
      <c r="N65" s="79"/>
      <c r="O65" s="79"/>
      <c r="P65" s="79"/>
      <c r="Q65" s="79"/>
    </row>
    <row r="66" spans="1:17" s="85" customFormat="1" ht="18" x14ac:dyDescent="0.2">
      <c r="A66" s="89"/>
      <c r="B66" s="247"/>
      <c r="C66" s="247"/>
      <c r="D66" s="512" t="s">
        <v>257</v>
      </c>
      <c r="E66" s="247"/>
      <c r="F66" s="247"/>
      <c r="G66" s="247"/>
      <c r="H66" s="247"/>
      <c r="I66" s="95"/>
      <c r="J66" s="82"/>
      <c r="K66" s="82"/>
      <c r="L66" s="83"/>
      <c r="M66" s="83"/>
      <c r="N66" s="83"/>
      <c r="O66" s="84"/>
      <c r="P66" s="84"/>
      <c r="Q66" s="84"/>
    </row>
    <row r="67" spans="1:17" x14ac:dyDescent="0.2">
      <c r="A67" s="89"/>
      <c r="B67" s="247"/>
      <c r="C67" s="247"/>
      <c r="E67" s="247"/>
      <c r="F67" s="311"/>
      <c r="G67" s="311"/>
      <c r="H67" s="247"/>
      <c r="I67" s="95"/>
      <c r="J67" s="82"/>
      <c r="K67" s="8"/>
      <c r="L67" s="8"/>
      <c r="M67" s="8"/>
      <c r="N67" s="8"/>
      <c r="O67" s="88"/>
      <c r="P67" s="88"/>
      <c r="Q67" s="88"/>
    </row>
    <row r="68" spans="1:17" ht="13.5" thickBot="1" x14ac:dyDescent="0.25">
      <c r="A68" s="96"/>
      <c r="B68" s="73"/>
      <c r="C68" s="73"/>
      <c r="D68" s="97"/>
      <c r="E68" s="73"/>
      <c r="F68" s="73"/>
      <c r="G68" s="73"/>
      <c r="H68" s="73"/>
      <c r="I68" s="98"/>
      <c r="J68" s="92"/>
      <c r="K68" s="8"/>
      <c r="L68" s="8"/>
      <c r="M68" s="8"/>
      <c r="N68" s="8"/>
      <c r="O68" s="88"/>
      <c r="P68" s="88"/>
      <c r="Q68" s="88"/>
    </row>
    <row r="69" spans="1:17" ht="42.75" customHeight="1" x14ac:dyDescent="0.2">
      <c r="A69" s="74"/>
      <c r="B69" s="74"/>
      <c r="C69" s="74"/>
      <c r="D69" s="99"/>
      <c r="E69" s="74"/>
      <c r="F69" s="74"/>
      <c r="G69" s="74"/>
      <c r="H69" s="74"/>
      <c r="I69" s="100"/>
      <c r="J69" s="8"/>
      <c r="K69" s="8"/>
      <c r="L69" s="8"/>
      <c r="M69" s="8"/>
      <c r="N69" s="8"/>
      <c r="O69" s="88"/>
      <c r="P69" s="88"/>
      <c r="Q69" s="88"/>
    </row>
    <row r="70" spans="1:17" ht="12.75" customHeight="1" x14ac:dyDescent="0.2">
      <c r="A70" s="75"/>
      <c r="B70" s="75"/>
      <c r="C70" s="75"/>
      <c r="D70" s="90"/>
      <c r="E70" s="75"/>
      <c r="F70" s="75"/>
      <c r="G70" s="75"/>
      <c r="H70" s="75"/>
      <c r="I70" s="101"/>
      <c r="J70" s="93"/>
      <c r="K70" s="93"/>
      <c r="L70" s="93"/>
      <c r="M70" s="93"/>
      <c r="N70" s="93"/>
      <c r="O70" s="94"/>
    </row>
    <row r="71" spans="1:17" ht="12.75" hidden="1" customHeight="1" x14ac:dyDescent="0.2">
      <c r="J71" s="94"/>
      <c r="K71" s="94"/>
      <c r="L71" s="94"/>
      <c r="M71" s="94"/>
      <c r="N71" s="94"/>
      <c r="O71" s="94"/>
    </row>
    <row r="72" spans="1:17" ht="12.75" customHeight="1" x14ac:dyDescent="0.2">
      <c r="J72" s="94"/>
      <c r="K72" s="94"/>
      <c r="L72" s="94"/>
      <c r="M72" s="94"/>
      <c r="N72" s="94"/>
      <c r="O72" s="94"/>
    </row>
    <row r="73" spans="1:17" ht="12.75" customHeight="1" x14ac:dyDescent="0.2">
      <c r="J73" s="94"/>
      <c r="K73" s="94"/>
      <c r="L73" s="94"/>
      <c r="M73" s="94"/>
      <c r="N73" s="94"/>
      <c r="O73" s="94"/>
    </row>
    <row r="74" spans="1:17" ht="12.75" customHeight="1" x14ac:dyDescent="0.2">
      <c r="J74" s="94"/>
      <c r="K74" s="94"/>
      <c r="L74" s="94"/>
      <c r="M74" s="94"/>
      <c r="N74" s="94"/>
      <c r="O74" s="94"/>
    </row>
  </sheetData>
  <sheetProtection algorithmName="SHA-512" hashValue="pf+Xd9BxXqebyW7Ls+B9na1q81Ga6H/v51O5P8Drsu9F+qHGXWJmIIBXYitXRz2fDe6ZpxboPt791J9nO5qn7w==" saltValue="WcuYwZf08I0pKKi0cDLw3Q==" spinCount="100000" sheet="1" objects="1" scenarios="1"/>
  <protectedRanges>
    <protectedRange sqref="I3" name="Intervalo14"/>
    <protectedRange sqref="F61" name="Intervalo11"/>
    <protectedRange sqref="G58" name="Intervalo9"/>
    <protectedRange sqref="G56" name="Intervalo8"/>
    <protectedRange sqref="G48:G54" name="Intervalo7"/>
    <protectedRange sqref="G45" name="Intervalo6"/>
    <protectedRange sqref="G38:G43" name="Intervalo5"/>
    <protectedRange sqref="G35:G36" name="Intervalo4"/>
    <protectedRange sqref="G27:G33" name="Intervalo3"/>
    <protectedRange sqref="G12:G25" name="Intervalo2"/>
    <protectedRange sqref="G10" name="Intervalo1"/>
    <protectedRange sqref="E64:F66 D64:D65" name="Intervalo10"/>
    <protectedRange sqref="D64:D66" name="Intervalo12"/>
    <protectedRange sqref="F61" name="Intervalo13"/>
  </protectedRanges>
  <mergeCells count="23">
    <mergeCell ref="B26:H26"/>
    <mergeCell ref="B11:H11"/>
    <mergeCell ref="A6:G6"/>
    <mergeCell ref="B7:C7"/>
    <mergeCell ref="A8:H8"/>
    <mergeCell ref="B9:H9"/>
    <mergeCell ref="D1:I1"/>
    <mergeCell ref="A2:I2"/>
    <mergeCell ref="A3:G3"/>
    <mergeCell ref="A4:G4"/>
    <mergeCell ref="A5:G5"/>
    <mergeCell ref="H5:I5"/>
    <mergeCell ref="F67:G67"/>
    <mergeCell ref="A59:H59"/>
    <mergeCell ref="G62:H62"/>
    <mergeCell ref="C34:H34"/>
    <mergeCell ref="B37:H37"/>
    <mergeCell ref="B44:H44"/>
    <mergeCell ref="B57:H57"/>
    <mergeCell ref="F61:I61"/>
    <mergeCell ref="B46:H46"/>
    <mergeCell ref="B47:H47"/>
    <mergeCell ref="B55:H55"/>
  </mergeCells>
  <phoneticPr fontId="50" type="noConversion"/>
  <printOptions horizontalCentered="1"/>
  <pageMargins left="0.7" right="0.7" top="0.75" bottom="0.75" header="0.3" footer="0.3"/>
  <pageSetup paperSize="9" scale="57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8" shapeId="12289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2</xdr:col>
                <xdr:colOff>333375</xdr:colOff>
                <xdr:row>0</xdr:row>
                <xdr:rowOff>895350</xdr:rowOff>
              </to>
            </anchor>
          </objectPr>
        </oleObject>
      </mc:Choice>
      <mc:Fallback>
        <oleObject progId="CorelDraw.Graphic.18" shapeId="122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>
    <outlinePr summaryBelow="0"/>
    <pageSetUpPr fitToPage="1"/>
  </sheetPr>
  <dimension ref="A1:J66"/>
  <sheetViews>
    <sheetView showGridLines="0" showZeros="0" view="pageBreakPreview" topLeftCell="A28" zoomScaleNormal="100" zoomScaleSheetLayoutView="100" workbookViewId="0">
      <selection activeCell="K5" sqref="K5"/>
    </sheetView>
  </sheetViews>
  <sheetFormatPr defaultColWidth="9.140625" defaultRowHeight="12.75" outlineLevelRow="1" x14ac:dyDescent="0.2"/>
  <cols>
    <col min="1" max="1" width="5.85546875" style="1" customWidth="1"/>
    <col min="2" max="2" width="65.140625" style="1" customWidth="1"/>
    <col min="3" max="3" width="6.85546875" style="1" customWidth="1"/>
    <col min="4" max="4" width="10" style="1" customWidth="1"/>
    <col min="5" max="5" width="10.42578125" style="1" customWidth="1"/>
    <col min="6" max="6" width="18" style="1" customWidth="1"/>
    <col min="7" max="7" width="8.85546875" style="1" bestFit="1" customWidth="1"/>
    <col min="8" max="8" width="9.28515625" style="59" customWidth="1"/>
    <col min="9" max="9" width="13.7109375" style="1" bestFit="1" customWidth="1"/>
    <col min="10" max="16384" width="9.140625" style="1"/>
  </cols>
  <sheetData>
    <row r="1" spans="1:10" ht="75.75" customHeight="1" thickBot="1" x14ac:dyDescent="0.25">
      <c r="A1" s="48"/>
      <c r="B1" s="330" t="s">
        <v>0</v>
      </c>
      <c r="C1" s="330"/>
      <c r="D1" s="330"/>
      <c r="E1" s="330"/>
      <c r="F1" s="330"/>
      <c r="G1" s="330"/>
      <c r="H1" s="331"/>
      <c r="I1" s="8"/>
    </row>
    <row r="2" spans="1:10" s="43" customFormat="1" ht="24.95" customHeight="1" thickBot="1" x14ac:dyDescent="0.25">
      <c r="A2" s="370" t="s">
        <v>34</v>
      </c>
      <c r="B2" s="371"/>
      <c r="C2" s="371"/>
      <c r="D2" s="371"/>
      <c r="E2" s="371"/>
      <c r="F2" s="371"/>
      <c r="G2" s="371"/>
      <c r="H2" s="372"/>
      <c r="I2" s="42"/>
    </row>
    <row r="3" spans="1:10" s="35" customFormat="1" ht="20.100000000000001" customHeight="1" x14ac:dyDescent="0.2">
      <c r="A3" s="373" t="str">
        <f>Orçamento!A3</f>
        <v>OBRA: Implantação de Projeto de Segurança Contra Incêndio e Pânico no Paiolão do Parque de Exposições Antônio Secundino de São José</v>
      </c>
      <c r="B3" s="374"/>
      <c r="C3" s="374"/>
      <c r="D3" s="374"/>
      <c r="E3" s="374"/>
      <c r="F3" s="374"/>
      <c r="G3" s="374"/>
      <c r="H3" s="375"/>
      <c r="I3" s="40"/>
    </row>
    <row r="4" spans="1:10" s="35" customFormat="1" ht="31.9" customHeight="1" thickBot="1" x14ac:dyDescent="0.25">
      <c r="A4" s="376" t="str">
        <f>Orçamento!A4</f>
        <v>LOCAL: Localizado na Rua Severino Mendes, nº995, Bairro Planalto, no município de Presidente Olegário - MG</v>
      </c>
      <c r="B4" s="377"/>
      <c r="C4" s="377"/>
      <c r="D4" s="377"/>
      <c r="E4" s="377"/>
      <c r="F4" s="377"/>
      <c r="G4" s="377"/>
      <c r="H4" s="378"/>
      <c r="I4" s="41"/>
    </row>
    <row r="5" spans="1:10" s="35" customFormat="1" ht="45" customHeight="1" thickBot="1" x14ac:dyDescent="0.25">
      <c r="A5" s="262" t="s">
        <v>6</v>
      </c>
      <c r="B5" s="261" t="s">
        <v>8</v>
      </c>
      <c r="C5" s="346" t="s">
        <v>35</v>
      </c>
      <c r="D5" s="380"/>
      <c r="E5" s="380"/>
      <c r="F5" s="347"/>
      <c r="G5" s="346" t="s">
        <v>36</v>
      </c>
      <c r="H5" s="379"/>
      <c r="I5" s="40"/>
    </row>
    <row r="6" spans="1:10" s="35" customFormat="1" ht="24" customHeight="1" thickBot="1" x14ac:dyDescent="0.25">
      <c r="A6" s="123" t="str">
        <f>Orçamento!A9</f>
        <v>1</v>
      </c>
      <c r="B6" s="343" t="str">
        <f>Orçamento!B9</f>
        <v>SERVIÇOS PRELIMINARES</v>
      </c>
      <c r="C6" s="344"/>
      <c r="D6" s="344"/>
      <c r="E6" s="344"/>
      <c r="F6" s="344"/>
      <c r="G6" s="344"/>
      <c r="H6" s="345"/>
      <c r="I6" s="40"/>
    </row>
    <row r="7" spans="1:10" s="35" customFormat="1" ht="75.75" thickBot="1" x14ac:dyDescent="0.25">
      <c r="A7" s="119" t="str">
        <f>Orçamento!A10</f>
        <v>1.1</v>
      </c>
      <c r="B7" s="120" t="str">
        <f>Orçamento!D10</f>
        <v>FORNECIMENTO E COLOCAÇÃO DE PLACA DE OBRA EM CHAPA GALVANIZADA (3,00 X 1,50 M) - EM CHAPA GALVANIZADA 0,26 AFIXADAS COM REBITES 540 E PARAFUSOS 3/8, EM ESTRUTURA METÁLICA VIGA U 2" ENRIJECIDA COM METALON 20 X 20, SUPORTE EM EUCALIPTO AUTOCLAVADO PINTADAS</v>
      </c>
      <c r="C7" s="364" t="s">
        <v>248</v>
      </c>
      <c r="D7" s="364"/>
      <c r="E7" s="364"/>
      <c r="F7" s="364"/>
      <c r="G7" s="121">
        <v>1</v>
      </c>
      <c r="H7" s="125" t="str">
        <f>Orçamento!E10</f>
        <v>U</v>
      </c>
      <c r="I7" s="40"/>
    </row>
    <row r="8" spans="1:10" s="35" customFormat="1" ht="15.75" outlineLevel="1" thickBot="1" x14ac:dyDescent="0.25">
      <c r="A8" s="123">
        <f>Orçamento!A11</f>
        <v>2</v>
      </c>
      <c r="B8" s="343" t="s">
        <v>93</v>
      </c>
      <c r="C8" s="344"/>
      <c r="D8" s="344"/>
      <c r="E8" s="344"/>
      <c r="F8" s="344"/>
      <c r="G8" s="344"/>
      <c r="H8" s="345"/>
      <c r="I8" s="40"/>
      <c r="J8" s="40"/>
    </row>
    <row r="9" spans="1:10" s="35" customFormat="1" ht="44.25" customHeight="1" outlineLevel="1" x14ac:dyDescent="0.2">
      <c r="A9" s="119" t="str">
        <f>Orçamento!A12</f>
        <v>2.1</v>
      </c>
      <c r="B9" s="120" t="str">
        <f>Orçamento!D12</f>
        <v>DEMOLIÇÃO DE ALVENARIA DE BLOCO FURADO, DE FORMA MANUAL, SEM REAPROVEITAMENTO. AF_09/2023</v>
      </c>
      <c r="C9" s="381" t="s">
        <v>238</v>
      </c>
      <c r="D9" s="381"/>
      <c r="E9" s="381"/>
      <c r="F9" s="381"/>
      <c r="G9" s="122">
        <f>ROUND(2.82*5*0.2,2)</f>
        <v>2.82</v>
      </c>
      <c r="H9" s="132" t="str">
        <f>Orçamento!E12</f>
        <v>M3</v>
      </c>
      <c r="I9" s="40"/>
      <c r="J9" s="40"/>
    </row>
    <row r="10" spans="1:10" s="35" customFormat="1" ht="45" customHeight="1" outlineLevel="1" x14ac:dyDescent="0.2">
      <c r="A10" s="68" t="str">
        <f>Orçamento!A13</f>
        <v>2.2</v>
      </c>
      <c r="B10" s="52" t="str">
        <f>Orçamento!D13</f>
        <v>TRANSPORTE COM CAMINHÃO BASCULANTE DE 10 M³, EM VIA URBANA PAVIMENTADA, DMT ATÉ 30 KM (UNIDADE: M3XKM). AF_07/2020</v>
      </c>
      <c r="C10" s="365" t="s">
        <v>237</v>
      </c>
      <c r="D10" s="365"/>
      <c r="E10" s="365"/>
      <c r="F10" s="365"/>
      <c r="G10" s="53">
        <f>ROUND(2.82*5*0.2*4.4,2)</f>
        <v>12.41</v>
      </c>
      <c r="H10" s="133" t="str">
        <f>Orçamento!E13</f>
        <v>M3xKM</v>
      </c>
      <c r="I10" s="40"/>
      <c r="J10" s="40"/>
    </row>
    <row r="11" spans="1:10" s="35" customFormat="1" ht="30" outlineLevel="1" x14ac:dyDescent="0.2">
      <c r="A11" s="68" t="str">
        <f>Orçamento!A14</f>
        <v>2.3</v>
      </c>
      <c r="B11" s="52" t="str">
        <f>Orçamento!D14</f>
        <v>PILAR EM CONCRETO APARENTE 20 MPa, INCLUSIVE ARMAÇÃO, FÔRMA PLASTIFICADA E DESFORMA</v>
      </c>
      <c r="C11" s="361" t="s">
        <v>244</v>
      </c>
      <c r="D11" s="362"/>
      <c r="E11" s="362"/>
      <c r="F11" s="363"/>
      <c r="G11" s="67">
        <f>ROUND(2.9*0.2*0.25,2)</f>
        <v>0.15</v>
      </c>
      <c r="H11" s="133" t="str">
        <f>Orçamento!E14</f>
        <v>M3</v>
      </c>
      <c r="I11" s="40"/>
      <c r="J11" s="40"/>
    </row>
    <row r="12" spans="1:10" s="35" customFormat="1" ht="45" outlineLevel="1" x14ac:dyDescent="0.2">
      <c r="A12" s="68" t="str">
        <f>Orçamento!A15</f>
        <v>2.4</v>
      </c>
      <c r="B12" s="52" t="str">
        <f>Orçamento!D15</f>
        <v>ESCAVAÇÃO MANUAL DE TERRA (DESATERRO MANUAL), INCLUSIVE DESCARGA LATERAL, EXCLUSIVE RETIRADA E TRANSPORTE DO MATERIAL ESCAVADO</v>
      </c>
      <c r="C12" s="361" t="s">
        <v>222</v>
      </c>
      <c r="D12" s="362"/>
      <c r="E12" s="362"/>
      <c r="F12" s="363"/>
      <c r="G12" s="67">
        <f>ROUND(5*0.2*0.25,2)</f>
        <v>0.25</v>
      </c>
      <c r="H12" s="133" t="str">
        <f>Orçamento!E15</f>
        <v>M3</v>
      </c>
      <c r="I12" s="40"/>
      <c r="J12" s="40"/>
    </row>
    <row r="13" spans="1:10" s="35" customFormat="1" ht="30" outlineLevel="1" x14ac:dyDescent="0.2">
      <c r="A13" s="68" t="str">
        <f>Orçamento!A16</f>
        <v>2.5</v>
      </c>
      <c r="B13" s="52" t="str">
        <f>Orçamento!D16</f>
        <v>APILOAMENTO MANUAL EM FUNDO DE VALA COM SOQUETE, EXCLUSIVE ESCAVAÇÃO</v>
      </c>
      <c r="C13" s="361" t="s">
        <v>200</v>
      </c>
      <c r="D13" s="362"/>
      <c r="E13" s="362"/>
      <c r="F13" s="363"/>
      <c r="G13" s="67">
        <f>ROUND(5*0.2,2)</f>
        <v>1</v>
      </c>
      <c r="H13" s="133" t="str">
        <f>Orçamento!E16</f>
        <v>M2</v>
      </c>
      <c r="I13" s="40"/>
      <c r="J13" s="40"/>
    </row>
    <row r="14" spans="1:10" s="35" customFormat="1" ht="30" outlineLevel="1" x14ac:dyDescent="0.2">
      <c r="A14" s="68" t="str">
        <f>Orçamento!A17</f>
        <v>2.6</v>
      </c>
      <c r="B14" s="52" t="str">
        <f>Orçamento!D17</f>
        <v>ARMAÇÃO DE SAPATA ISOLADA, VIGA BALDRAME E SAPATA CORRIDA UTILIZANDO AÇO CA-50 DE 8 MM - MONTAGEM. AF_01/2024</v>
      </c>
      <c r="C14" s="361" t="s">
        <v>196</v>
      </c>
      <c r="D14" s="362"/>
      <c r="E14" s="362"/>
      <c r="F14" s="363"/>
      <c r="G14" s="67">
        <f>ROUND(4*5.24*0.395,2)</f>
        <v>8.2799999999999994</v>
      </c>
      <c r="H14" s="133" t="str">
        <f>Orçamento!E17</f>
        <v>Kg</v>
      </c>
      <c r="I14" s="40"/>
      <c r="J14" s="40"/>
    </row>
    <row r="15" spans="1:10" s="35" customFormat="1" ht="30" outlineLevel="1" x14ac:dyDescent="0.2">
      <c r="A15" s="68" t="str">
        <f>Orçamento!A18</f>
        <v>2.7</v>
      </c>
      <c r="B15" s="52" t="str">
        <f>Orçamento!D18</f>
        <v>ARMAÇÃO DE SAPATA ISOLADA, VIGA BALDRAME E SAPATA CORRIDA UTILIZANDO AÇO CA-50 DE 6,3 MM - MONTAGEM. AF_01/2024</v>
      </c>
      <c r="C15" s="361" t="s">
        <v>216</v>
      </c>
      <c r="D15" s="362"/>
      <c r="E15" s="362"/>
      <c r="F15" s="363"/>
      <c r="G15" s="67">
        <f>ROUND(25*0.8*0.245,2)</f>
        <v>4.9000000000000004</v>
      </c>
      <c r="H15" s="133" t="str">
        <f>Orçamento!E18</f>
        <v>Kg</v>
      </c>
      <c r="I15" s="40"/>
      <c r="J15" s="40"/>
    </row>
    <row r="16" spans="1:10" s="35" customFormat="1" ht="45" outlineLevel="1" x14ac:dyDescent="0.2">
      <c r="A16" s="68" t="str">
        <f>Orçamento!A19</f>
        <v>2.8</v>
      </c>
      <c r="B16" s="52" t="str">
        <f>Orçamento!D19</f>
        <v>FORNECIMENTO DE CONCRETO ESTRUTURAL, PREPARADO EM OBRA COM BETONEIRA, COM FCK 20MPA, INCLUSIVE LANÇAMENTO, ADENSAMENTO E ACABAMENTO (FUNDAÇÃO)</v>
      </c>
      <c r="C16" s="361" t="s">
        <v>217</v>
      </c>
      <c r="D16" s="362"/>
      <c r="E16" s="362"/>
      <c r="F16" s="363"/>
      <c r="G16" s="67">
        <f>ROUND(5*0.2*0.25,2)</f>
        <v>0.25</v>
      </c>
      <c r="H16" s="133" t="str">
        <f>Orçamento!E19</f>
        <v>M3</v>
      </c>
      <c r="I16" s="40"/>
      <c r="J16" s="40"/>
    </row>
    <row r="17" spans="1:10" s="35" customFormat="1" ht="34.5" customHeight="1" outlineLevel="1" x14ac:dyDescent="0.2">
      <c r="A17" s="68" t="str">
        <f>Orçamento!A20</f>
        <v>2.9</v>
      </c>
      <c r="B17" s="52" t="str">
        <f>Orçamento!D20</f>
        <v>CAPINA MANUAL DO TERRENO, EXCLUSIVE RASTELAMENTO E QUEIMA</v>
      </c>
      <c r="C17" s="361" t="s">
        <v>170</v>
      </c>
      <c r="D17" s="362"/>
      <c r="E17" s="362"/>
      <c r="F17" s="363"/>
      <c r="G17" s="67">
        <f t="shared" ref="G17:G19" si="0">ROUND((3.4*5+7*7),2)</f>
        <v>66</v>
      </c>
      <c r="H17" s="133" t="str">
        <f>Orçamento!E20</f>
        <v>M2</v>
      </c>
      <c r="I17" s="40"/>
      <c r="J17" s="40"/>
    </row>
    <row r="18" spans="1:10" s="35" customFormat="1" ht="30" outlineLevel="1" x14ac:dyDescent="0.2">
      <c r="A18" s="68" t="str">
        <f>Orçamento!A21</f>
        <v>2.10</v>
      </c>
      <c r="B18" s="65" t="str">
        <f>Orçamento!D21</f>
        <v>RASTELAMENTO DE ÁREA COM AFASTAMENTO DE ATÉ VINTE (20) METROS, EXCLUSIVE CAPINA OU ROÇADA MANUAL</v>
      </c>
      <c r="C18" s="361" t="s">
        <v>171</v>
      </c>
      <c r="D18" s="362"/>
      <c r="E18" s="362"/>
      <c r="F18" s="363"/>
      <c r="G18" s="67">
        <f t="shared" si="0"/>
        <v>66</v>
      </c>
      <c r="H18" s="133" t="str">
        <f>Orçamento!E21</f>
        <v>M2</v>
      </c>
      <c r="I18" s="40"/>
      <c r="J18" s="40"/>
    </row>
    <row r="19" spans="1:10" s="35" customFormat="1" ht="45" outlineLevel="1" x14ac:dyDescent="0.2">
      <c r="A19" s="68" t="str">
        <f>Orçamento!A22</f>
        <v>2.11</v>
      </c>
      <c r="B19" s="65" t="str">
        <f>Orçamento!D22</f>
        <v>REGULARIZAÇÃO MANUAL E COMPACTAÇÃO MECANIZADA DE TERRENO COM PLACA VIBRATÓRIA, EXCLUSIVE DESMATAMENTO, DESTOCAMENTO, LIMPEZA/ROÇADA DO TERRENO</v>
      </c>
      <c r="C19" s="361" t="s">
        <v>172</v>
      </c>
      <c r="D19" s="362"/>
      <c r="E19" s="362"/>
      <c r="F19" s="363"/>
      <c r="G19" s="67">
        <f t="shared" si="0"/>
        <v>66</v>
      </c>
      <c r="H19" s="133" t="str">
        <f>Orçamento!E22</f>
        <v>M2</v>
      </c>
      <c r="I19" s="40"/>
      <c r="J19" s="40"/>
    </row>
    <row r="20" spans="1:10" s="35" customFormat="1" ht="60" customHeight="1" outlineLevel="1" x14ac:dyDescent="0.2">
      <c r="A20" s="68" t="str">
        <f>Orçamento!A23</f>
        <v>2.12</v>
      </c>
      <c r="B20" s="65" t="str">
        <f>Orçamento!D23</f>
        <v>EXECUÇÃO DE PASSEIO (CALÇADA) OU PISO DE CONCRETO COM CONCRETO MOLDADO IN LOCO, FEITO EM OBRA, ACABAMENTO CONVENCIONAL, NÃO ARMADO. AF_08/20 22</v>
      </c>
      <c r="C20" s="361" t="s">
        <v>213</v>
      </c>
      <c r="D20" s="362"/>
      <c r="E20" s="362"/>
      <c r="F20" s="363"/>
      <c r="G20" s="67">
        <f>ROUND((3.4*5+7*7)*0.08,2)</f>
        <v>5.28</v>
      </c>
      <c r="H20" s="133" t="str">
        <f>Orçamento!E23</f>
        <v>M3</v>
      </c>
      <c r="I20" s="40"/>
      <c r="J20" s="40"/>
    </row>
    <row r="21" spans="1:10" s="35" customFormat="1" ht="30" outlineLevel="1" x14ac:dyDescent="0.2">
      <c r="A21" s="68" t="str">
        <f>Orçamento!A24</f>
        <v>2.13</v>
      </c>
      <c r="B21" s="52" t="str">
        <f>Orçamento!D24</f>
        <v>PORTÃO EM CHAPA DE AÇO GALVANIZADO, TIPO LAMBRIL, ESP. 1, 25MM (GSG-18), EXCLUSIVE CADEADO E PINTURA</v>
      </c>
      <c r="C21" s="361" t="s">
        <v>173</v>
      </c>
      <c r="D21" s="362"/>
      <c r="E21" s="362"/>
      <c r="F21" s="363"/>
      <c r="G21" s="53">
        <f>ROUND((5*2.8),2)</f>
        <v>14</v>
      </c>
      <c r="H21" s="133" t="str">
        <f>Orçamento!E24</f>
        <v>M2</v>
      </c>
      <c r="I21" s="40"/>
      <c r="J21" s="40"/>
    </row>
    <row r="22" spans="1:10" s="35" customFormat="1" ht="43.5" customHeight="1" outlineLevel="1" thickBot="1" x14ac:dyDescent="0.25">
      <c r="A22" s="69" t="str">
        <f>Orçamento!A25</f>
        <v>2.14</v>
      </c>
      <c r="B22" s="65" t="str">
        <f>Orçamento!D25</f>
        <v>PINTURA ESMALTE EM ESQUADRIAS DE FERRO, DUAS (2) DEMÃOS, INCLUSIVE UMA (1) DEMÃO DE FUNDO ANTICORROSIVO</v>
      </c>
      <c r="C22" s="382" t="s">
        <v>221</v>
      </c>
      <c r="D22" s="383"/>
      <c r="E22" s="383"/>
      <c r="F22" s="384"/>
      <c r="G22" s="53">
        <f>ROUND((5*2.8*2),2)</f>
        <v>28</v>
      </c>
      <c r="H22" s="223" t="str">
        <f>Orçamento!E25</f>
        <v>M2</v>
      </c>
      <c r="I22" s="40"/>
      <c r="J22" s="40"/>
    </row>
    <row r="23" spans="1:10" s="35" customFormat="1" ht="21.75" customHeight="1" outlineLevel="1" thickBot="1" x14ac:dyDescent="0.25">
      <c r="A23" s="249">
        <f>Orçamento!A26</f>
        <v>3</v>
      </c>
      <c r="B23" s="327" t="str">
        <f>Orçamento!B26</f>
        <v>SAÍDA DE EMERGÊNCIA</v>
      </c>
      <c r="C23" s="320"/>
      <c r="D23" s="320"/>
      <c r="E23" s="320"/>
      <c r="F23" s="320"/>
      <c r="G23" s="320"/>
      <c r="H23" s="321"/>
      <c r="I23" s="40"/>
      <c r="J23" s="40"/>
    </row>
    <row r="24" spans="1:10" s="35" customFormat="1" ht="45.75" customHeight="1" outlineLevel="1" x14ac:dyDescent="0.2">
      <c r="A24" s="119" t="str">
        <f>Orçamento!A27</f>
        <v>3.1</v>
      </c>
      <c r="B24" s="120" t="str">
        <f>Orçamento!D27</f>
        <v>APLICAÇÃO DE FAIXA/FITA ADESIVA ANTIDERRAPANTE, LARGURA 50MM, EM DEGRAUS DE ESCADA, INCLUSIVE FORNECIMENTO</v>
      </c>
      <c r="C24" s="361" t="s">
        <v>140</v>
      </c>
      <c r="D24" s="362"/>
      <c r="E24" s="362"/>
      <c r="F24" s="363"/>
      <c r="G24" s="121">
        <f>ROUND(1.2*6,2)</f>
        <v>7.2</v>
      </c>
      <c r="H24" s="125" t="str">
        <f>Orçamento!E27</f>
        <v>M</v>
      </c>
      <c r="I24" s="40"/>
      <c r="J24" s="40"/>
    </row>
    <row r="25" spans="1:10" s="35" customFormat="1" ht="45.75" customHeight="1" outlineLevel="1" x14ac:dyDescent="0.2">
      <c r="A25" s="68" t="str">
        <f>Orçamento!A28</f>
        <v>3.2</v>
      </c>
      <c r="B25" s="52" t="str">
        <f>Orçamento!D28</f>
        <v xml:space="preserve">CORRIMÃO SIMPLES, DIÂMETRO EXTERNO = 1 1/2, EM ALUMÍNIO. AF_04/2019_P </v>
      </c>
      <c r="C25" s="361" t="s">
        <v>245</v>
      </c>
      <c r="D25" s="362"/>
      <c r="E25" s="362"/>
      <c r="F25" s="363"/>
      <c r="G25" s="124">
        <f>ROUND((1.6+1.05+4.12+15.12+1.47+11.6+6+6),2)</f>
        <v>46.96</v>
      </c>
      <c r="H25" s="105" t="str">
        <f>Orçamento!E28</f>
        <v>M</v>
      </c>
      <c r="I25" s="40"/>
      <c r="J25" s="40"/>
    </row>
    <row r="26" spans="1:10" s="35" customFormat="1" ht="60" customHeight="1" outlineLevel="1" x14ac:dyDescent="0.2">
      <c r="A26" s="68" t="str">
        <f>Orçamento!A29</f>
        <v>3.3</v>
      </c>
      <c r="B26" s="52" t="str">
        <f>Orçamento!D29</f>
        <v>GUARDA-CORPO DE AÇO GALVANIZADO DE 1,10M, MONTANTES TUBULARES DE 1.1/4 M ESPAÇADOS DE 1,20M, TRAVESSA SUPERIOR DE 1.1/2, GRADIL FORMADO POR TUBOS HORIZONTAIS DE 1 E VERTICAIS DE 3/4, FIXADO COM CHUMBADOR MECÂNICO. AF_04/2019_PS</v>
      </c>
      <c r="C26" s="361" t="s">
        <v>218</v>
      </c>
      <c r="D26" s="362"/>
      <c r="E26" s="362"/>
      <c r="F26" s="363"/>
      <c r="G26" s="124">
        <f>ROUND((1.6+4.12+15.11+1.47+11.6+6+6),2)</f>
        <v>45.9</v>
      </c>
      <c r="H26" s="105" t="str">
        <f>Orçamento!E29</f>
        <v>M</v>
      </c>
      <c r="I26" s="40"/>
      <c r="J26" s="40"/>
    </row>
    <row r="27" spans="1:10" s="35" customFormat="1" ht="75" outlineLevel="1" x14ac:dyDescent="0.2">
      <c r="A27" s="68" t="str">
        <f>Orçamento!A30</f>
        <v>3.4</v>
      </c>
      <c r="B27" s="52" t="str">
        <f>Orçamento!D30</f>
        <v>CORRIMÃO INTERMEDIÁRIO SIMPLES EM TUBO GALVANIZADO, COM COSTURA, CLASSE LEVE (NBR-5580), DIÂMETRO 1.1/2", ESP. 3MM, FIXADO EM PISO COM MONTANTE VERTICAL, DIÂMETRO 1.1/2", INCLUSIVE SUPORTE PARA CORRIMÃO EM BARRA CHATA (1"X1 /2"), EXCLUSIVE PINTURA</v>
      </c>
      <c r="C27" s="361" t="s">
        <v>141</v>
      </c>
      <c r="D27" s="362"/>
      <c r="E27" s="362"/>
      <c r="F27" s="363"/>
      <c r="G27" s="124">
        <f>ROUND(11.2,2)</f>
        <v>11.2</v>
      </c>
      <c r="H27" s="105" t="str">
        <f>Orçamento!E30</f>
        <v>M</v>
      </c>
      <c r="I27" s="40"/>
      <c r="J27" s="40"/>
    </row>
    <row r="28" spans="1:10" s="35" customFormat="1" ht="78.75" customHeight="1" outlineLevel="1" x14ac:dyDescent="0.2">
      <c r="A28" s="68" t="str">
        <f>Orçamento!A31</f>
        <v>3.5</v>
      </c>
      <c r="B28" s="52" t="str">
        <f>Orçamento!D31</f>
        <v>PINTURA ESMALTE EM TUBO GALVANIZADO, DUAS (2) DEMÃOS, INCLUSIVE UMA (1) DEMÃO DE FUNDO ANTICORROSIVO</v>
      </c>
      <c r="C28" s="361" t="s">
        <v>223</v>
      </c>
      <c r="D28" s="362"/>
      <c r="E28" s="362"/>
      <c r="F28" s="363"/>
      <c r="G28" s="124">
        <f>ROUND((45.91)+(11.2)+(45.91)+(45.91)+(34*1.1)+(0.81*300),2)</f>
        <v>429.33</v>
      </c>
      <c r="H28" s="105" t="str">
        <f>Orçamento!E31</f>
        <v>M</v>
      </c>
      <c r="I28" s="40"/>
      <c r="J28" s="40"/>
    </row>
    <row r="29" spans="1:10" s="35" customFormat="1" ht="45.75" customHeight="1" outlineLevel="1" x14ac:dyDescent="0.2">
      <c r="A29" s="68" t="str">
        <f>Orçamento!A32</f>
        <v>3.6</v>
      </c>
      <c r="B29" s="52" t="str">
        <f>Orçamento!D32</f>
        <v xml:space="preserve">REMOÇÃO DE VIDRO LISO COMUM DE ESQUADRIA COM BAGUETE DE ALUMÍNIO OU PVC. </v>
      </c>
      <c r="C29" s="361" t="s">
        <v>161</v>
      </c>
      <c r="D29" s="362"/>
      <c r="E29" s="362"/>
      <c r="F29" s="363"/>
      <c r="G29" s="124">
        <f>ROUND(2*2.1,2)</f>
        <v>4.2</v>
      </c>
      <c r="H29" s="105" t="str">
        <f>Orçamento!E32</f>
        <v>M2</v>
      </c>
      <c r="I29" s="40"/>
      <c r="J29" s="40"/>
    </row>
    <row r="30" spans="1:10" s="35" customFormat="1" ht="45.75" customHeight="1" outlineLevel="1" thickBot="1" x14ac:dyDescent="0.25">
      <c r="A30" s="68" t="str">
        <f>Orçamento!A33</f>
        <v>3.7</v>
      </c>
      <c r="B30" s="52" t="str">
        <f>Orçamento!D33</f>
        <v>PORTA DE VIDRO TEMPERADO 10 MM, DE ABRIR, DUAS FOLHAS, 100 CM CADA (LARGURA), 210 CM (ALTURA), INCLUSO ADESIVO BLACKOUT, BARRA ANTIPÂNICO, DOBRADIÇA INOX E INSTALAÇÃO</v>
      </c>
      <c r="C30" s="361" t="s">
        <v>220</v>
      </c>
      <c r="D30" s="362"/>
      <c r="E30" s="362"/>
      <c r="F30" s="363"/>
      <c r="G30" s="124">
        <f>1</f>
        <v>1</v>
      </c>
      <c r="H30" s="105" t="str">
        <f>Orçamento!E33</f>
        <v>UN</v>
      </c>
      <c r="I30" s="40"/>
      <c r="J30" s="40"/>
    </row>
    <row r="31" spans="1:10" s="35" customFormat="1" ht="20.100000000000001" customHeight="1" thickBot="1" x14ac:dyDescent="0.25">
      <c r="A31" s="255">
        <f>Orçamento!A34</f>
        <v>4</v>
      </c>
      <c r="B31" s="366" t="str">
        <f>Orçamento!C34</f>
        <v>ILUMINAÇÃO DE EMERGÊNCIA</v>
      </c>
      <c r="C31" s="367"/>
      <c r="D31" s="367"/>
      <c r="E31" s="367"/>
      <c r="F31" s="367"/>
      <c r="G31" s="367"/>
      <c r="H31" s="368"/>
    </row>
    <row r="32" spans="1:10" s="35" customFormat="1" ht="120" x14ac:dyDescent="0.2">
      <c r="A32" s="200" t="str">
        <f>Orçamento!A35</f>
        <v>4.1</v>
      </c>
      <c r="B32" s="126" t="str">
        <f>Orçamento!D35</f>
        <v>PONTO DE SOBREPOR PARA UMA (1) TOMADA PADRÃO, TRÊS (3) POLOS (2P+T/10A-250V), COM PLACA 4"X2" DE UM (1) POSTO, COM ELETRODUTO DE AÇO GALVANIZADO, CLASSE LEVE, DN 20MM (3/4"), FIXADO NA ALVENARIA/TETO E CABO DE COBRE FLEXÍVEL, CLASSE 5, ISOLAMENTO TIPO LSHF/ATOX, NÃO HALOGENADO, SEÇÃO 2,5MM2 (70°C-450/750V), COM DISTÂNCIA DE ATÉ DEZ (10) METROS DO PONTO DE DERIVAÇÃO, INCLUSIVE FORNECIMENTO, INSTALAÇÃO, CONDULETE EM ALUMÍNIO, CONEXÕES, SUPORTE E FIXAÇÃO DO ELETRODUTO</v>
      </c>
      <c r="C32" s="369" t="s">
        <v>142</v>
      </c>
      <c r="D32" s="369"/>
      <c r="E32" s="369"/>
      <c r="F32" s="369"/>
      <c r="G32" s="201">
        <v>12</v>
      </c>
      <c r="H32" s="127" t="str">
        <f>Orçamento!E35</f>
        <v xml:space="preserve">UN </v>
      </c>
    </row>
    <row r="33" spans="1:10" s="35" customFormat="1" ht="122.25" customHeight="1" thickBot="1" x14ac:dyDescent="0.25">
      <c r="A33" s="238" t="str">
        <f>Orçamento!A36</f>
        <v>4.2</v>
      </c>
      <c r="B33" s="239" t="str">
        <f>Orçamento!D36</f>
        <v>LUMINÁRIA DE EMERGÊNCIA AUTÔNOMA, TIPO LED POTÊNCIA TOTAL DE 2W, FORNECIMENTO E INSTALAÇÃO</v>
      </c>
      <c r="C33" s="369" t="s">
        <v>142</v>
      </c>
      <c r="D33" s="369"/>
      <c r="E33" s="369"/>
      <c r="F33" s="369"/>
      <c r="G33" s="240">
        <v>12</v>
      </c>
      <c r="H33" s="241" t="str">
        <f>Orçamento!E36</f>
        <v xml:space="preserve">UN </v>
      </c>
    </row>
    <row r="34" spans="1:10" s="35" customFormat="1" ht="20.100000000000001" customHeight="1" thickBot="1" x14ac:dyDescent="0.25">
      <c r="A34" s="249">
        <f>Orçamento!A37</f>
        <v>5</v>
      </c>
      <c r="B34" s="327" t="str">
        <f>Orçamento!B37</f>
        <v>SINALIZAÇÃO DE EMERGÊNCIA</v>
      </c>
      <c r="C34" s="320"/>
      <c r="D34" s="320"/>
      <c r="E34" s="320"/>
      <c r="F34" s="320"/>
      <c r="G34" s="320"/>
      <c r="H34" s="321"/>
    </row>
    <row r="35" spans="1:10" s="35" customFormat="1" ht="45" outlineLevel="1" x14ac:dyDescent="0.2">
      <c r="A35" s="119" t="str">
        <f>Orçamento!A38</f>
        <v>5.1</v>
      </c>
      <c r="B35" s="120" t="str">
        <f>Orçamento!D38</f>
        <v>PLACA FOTOLUMINESCENTE PARA SINALIZAÇÃO DE
EMERGÊNCIA, TIPO "S1", DIMENSÃO (380X190)MM, INCLUSIVE
FIXAÇÃO</v>
      </c>
      <c r="C35" s="381" t="s">
        <v>225</v>
      </c>
      <c r="D35" s="381"/>
      <c r="E35" s="381"/>
      <c r="F35" s="381"/>
      <c r="G35" s="121">
        <v>6</v>
      </c>
      <c r="H35" s="125" t="str">
        <f>Orçamento!E38</f>
        <v xml:space="preserve">UN </v>
      </c>
      <c r="I35" s="40"/>
      <c r="J35" s="40"/>
    </row>
    <row r="36" spans="1:10" s="35" customFormat="1" ht="45" outlineLevel="1" x14ac:dyDescent="0.2">
      <c r="A36" s="68" t="str">
        <f>Orçamento!A39</f>
        <v>5.2</v>
      </c>
      <c r="B36" s="52" t="str">
        <f>Orçamento!D39</f>
        <v>PLACA FOTOLUMINESCENTE PARA SINALIZAÇÃO DE
EMERGÊNCIA, TIPO "S2", DIMENSÃO (380X190)MM, INCLUSIVE
FIXAÇÃO</v>
      </c>
      <c r="C36" s="365" t="s">
        <v>225</v>
      </c>
      <c r="D36" s="365"/>
      <c r="E36" s="365"/>
      <c r="F36" s="365"/>
      <c r="G36" s="124">
        <v>6</v>
      </c>
      <c r="H36" s="105" t="str">
        <f>Orçamento!E39</f>
        <v xml:space="preserve">UN </v>
      </c>
      <c r="I36" s="40"/>
      <c r="J36" s="40"/>
    </row>
    <row r="37" spans="1:10" s="35" customFormat="1" ht="45" outlineLevel="1" x14ac:dyDescent="0.2">
      <c r="A37" s="68" t="str">
        <f>Orçamento!A40</f>
        <v>5.3</v>
      </c>
      <c r="B37" s="52" t="str">
        <f>Orçamento!D40</f>
        <v>PLACA FOTOLUMINESCENTE PARA SINALIZAÇÃO DE
EMERGÊNCIA, TIPO "S12", DIMENSÃO (380X190)MM, INCLUSIVE
FIXAÇÃO</v>
      </c>
      <c r="C37" s="389" t="s">
        <v>226</v>
      </c>
      <c r="D37" s="389"/>
      <c r="E37" s="389"/>
      <c r="F37" s="389"/>
      <c r="G37" s="124">
        <v>4</v>
      </c>
      <c r="H37" s="105" t="str">
        <f>Orçamento!E40</f>
        <v xml:space="preserve">UN </v>
      </c>
      <c r="I37" s="40"/>
      <c r="J37" s="40"/>
    </row>
    <row r="38" spans="1:10" s="35" customFormat="1" ht="45" outlineLevel="1" x14ac:dyDescent="0.2">
      <c r="A38" s="68" t="str">
        <f>Orçamento!A41</f>
        <v>5.4</v>
      </c>
      <c r="B38" s="52" t="str">
        <f>Orçamento!D41</f>
        <v>PLACA FOTOLUMINESCENTE PARA SINALIZAÇÃO DE
EMERGÊNCIA, TIPO "E5", DIMENSÃO (150X150)MM, INCLUSIVE
FIXAÇÃO</v>
      </c>
      <c r="C38" s="389" t="s">
        <v>227</v>
      </c>
      <c r="D38" s="389"/>
      <c r="E38" s="389"/>
      <c r="F38" s="389"/>
      <c r="G38" s="124">
        <v>6</v>
      </c>
      <c r="H38" s="105" t="str">
        <f>Orçamento!E41</f>
        <v xml:space="preserve">UN </v>
      </c>
      <c r="I38" s="40"/>
      <c r="J38" s="40"/>
    </row>
    <row r="39" spans="1:10" s="35" customFormat="1" ht="48.75" customHeight="1" outlineLevel="1" x14ac:dyDescent="0.2">
      <c r="A39" s="68" t="str">
        <f>Orçamento!A42</f>
        <v>5.5</v>
      </c>
      <c r="B39" s="52" t="str">
        <f>Orçamento!D42</f>
        <v>PLACA FOTOLUMINESCENTE PARA SINALIZAÇÃO DE
EMERGÊNCIA, TIPO "M1", DIMENSÃO (400X600)MM, INCLUSIVE
FIXAÇÃO</v>
      </c>
      <c r="C39" s="389" t="s">
        <v>228</v>
      </c>
      <c r="D39" s="389"/>
      <c r="E39" s="389"/>
      <c r="F39" s="389"/>
      <c r="G39" s="124">
        <v>1</v>
      </c>
      <c r="H39" s="105" t="str">
        <f>Orçamento!E42</f>
        <v xml:space="preserve">UN </v>
      </c>
      <c r="I39" s="40"/>
      <c r="J39" s="40"/>
    </row>
    <row r="40" spans="1:10" s="35" customFormat="1" ht="48.75" customHeight="1" outlineLevel="1" thickBot="1" x14ac:dyDescent="0.25">
      <c r="A40" s="69" t="str">
        <f>Orçamento!A43</f>
        <v>5.6</v>
      </c>
      <c r="B40" s="65" t="str">
        <f>Orçamento!D43</f>
        <v>PLACA FOTOLUMINESCENTE PARA SINALIZAÇÃO DE
EMERGÊNCIA, TIPO "M2", DIMENSÃO (380X190)MM, INCLUSIVE
FIXAÇÃO</v>
      </c>
      <c r="C40" s="382" t="s">
        <v>229</v>
      </c>
      <c r="D40" s="383"/>
      <c r="E40" s="383"/>
      <c r="F40" s="384"/>
      <c r="G40" s="128">
        <v>1</v>
      </c>
      <c r="H40" s="134" t="str">
        <f>Orçamento!E43</f>
        <v xml:space="preserve">UN </v>
      </c>
      <c r="I40" s="40"/>
      <c r="J40" s="40"/>
    </row>
    <row r="41" spans="1:10" s="35" customFormat="1" ht="15.75" outlineLevel="1" thickBot="1" x14ac:dyDescent="0.25">
      <c r="A41" s="249">
        <f>Orçamento!A44</f>
        <v>6</v>
      </c>
      <c r="B41" s="327" t="str">
        <f>Orçamento!B44</f>
        <v>EXTINTORES</v>
      </c>
      <c r="C41" s="320"/>
      <c r="D41" s="320"/>
      <c r="E41" s="320"/>
      <c r="F41" s="320"/>
      <c r="G41" s="320"/>
      <c r="H41" s="321"/>
      <c r="I41" s="40"/>
      <c r="J41" s="40"/>
    </row>
    <row r="42" spans="1:10" s="35" customFormat="1" ht="30.75" outlineLevel="1" thickBot="1" x14ac:dyDescent="0.25">
      <c r="A42" s="214" t="str">
        <f>Orçamento!A45</f>
        <v>6.1</v>
      </c>
      <c r="B42" s="252" t="str">
        <f>Orçamento!D45</f>
        <v>EXTINTOR DE INCÊNDIO TIPO PÓ QUÍMICO 3-A:40-B:C, CAPACIDADE 6 KG</v>
      </c>
      <c r="C42" s="390" t="s">
        <v>230</v>
      </c>
      <c r="D42" s="390"/>
      <c r="E42" s="390"/>
      <c r="F42" s="390"/>
      <c r="G42" s="213">
        <v>6</v>
      </c>
      <c r="H42" s="215" t="str">
        <f>Orçamento!E45</f>
        <v xml:space="preserve">UN </v>
      </c>
      <c r="I42" s="40"/>
      <c r="J42" s="40"/>
    </row>
    <row r="43" spans="1:10" s="35" customFormat="1" ht="15" customHeight="1" outlineLevel="1" thickBot="1" x14ac:dyDescent="0.25">
      <c r="A43" s="249">
        <f>Orçamento!A46</f>
        <v>7</v>
      </c>
      <c r="B43" s="327" t="str">
        <f>Orçamento!B46</f>
        <v>CONTROLE DE FUMAÇA</v>
      </c>
      <c r="C43" s="320"/>
      <c r="D43" s="320"/>
      <c r="E43" s="320"/>
      <c r="F43" s="320"/>
      <c r="G43" s="320"/>
      <c r="H43" s="321"/>
      <c r="I43" s="40"/>
      <c r="J43" s="40"/>
    </row>
    <row r="44" spans="1:10" s="35" customFormat="1" ht="15" customHeight="1" outlineLevel="1" thickBot="1" x14ac:dyDescent="0.25">
      <c r="A44" s="249" t="str">
        <f>Orçamento!A47</f>
        <v>7.1</v>
      </c>
      <c r="B44" s="320" t="str">
        <f>Orçamento!B47</f>
        <v>Entrada de ar - Parede</v>
      </c>
      <c r="C44" s="320"/>
      <c r="D44" s="320"/>
      <c r="E44" s="320"/>
      <c r="F44" s="320"/>
      <c r="G44" s="320"/>
      <c r="H44" s="245"/>
      <c r="I44" s="40"/>
      <c r="J44" s="40"/>
    </row>
    <row r="45" spans="1:10" s="35" customFormat="1" ht="51" customHeight="1" outlineLevel="1" x14ac:dyDescent="0.2">
      <c r="A45" s="304" t="str">
        <f>Orçamento!A48</f>
        <v>7.1.1</v>
      </c>
      <c r="B45" s="243" t="str">
        <f>Orçamento!D48</f>
        <v>DEMOLIÇÃO DE ALVENARIA DE BLOCO FURADO, DE FORMA MANUAL, SEM REAPROVEITAMENTO. AF_09/2023</v>
      </c>
      <c r="C45" s="391" t="s">
        <v>224</v>
      </c>
      <c r="D45" s="392"/>
      <c r="E45" s="392"/>
      <c r="F45" s="393"/>
      <c r="G45" s="242">
        <f>ROUND((1*1*0.15)+(0.1*0.15*1.4),2)</f>
        <v>0.17</v>
      </c>
      <c r="H45" s="305" t="str">
        <f>Orçamento!E48</f>
        <v>M3</v>
      </c>
      <c r="I45" s="40"/>
      <c r="J45" s="40"/>
    </row>
    <row r="46" spans="1:10" s="35" customFormat="1" ht="51" customHeight="1" outlineLevel="1" x14ac:dyDescent="0.2">
      <c r="A46" s="283" t="str">
        <f>Orçamento!A49</f>
        <v>7.1.2</v>
      </c>
      <c r="B46" s="219" t="str">
        <f>Orçamento!D49</f>
        <v>TRANSPORTE COM CAMINHÃO BASCULANTE DE 10 M³, EM VIA URBANA PAVIMENTADA, DMT ATÉ 30 KM (UNIDADE: M3XKM). AF_07/2020</v>
      </c>
      <c r="C46" s="385" t="s">
        <v>236</v>
      </c>
      <c r="D46" s="386"/>
      <c r="E46" s="386"/>
      <c r="F46" s="387"/>
      <c r="G46" s="216">
        <f>ROUND((((1*1*0.15)+(0.1*0.15*1.4))*4.4),2)</f>
        <v>0.75</v>
      </c>
      <c r="H46" s="306" t="str">
        <f>Orçamento!E49</f>
        <v>M3xKM</v>
      </c>
      <c r="I46" s="40"/>
      <c r="J46" s="40"/>
    </row>
    <row r="47" spans="1:10" s="35" customFormat="1" ht="45" outlineLevel="1" x14ac:dyDescent="0.2">
      <c r="A47" s="283" t="str">
        <f>Orçamento!A50</f>
        <v>7.1.3</v>
      </c>
      <c r="B47" s="219" t="str">
        <f>Orçamento!D50</f>
        <v>VERGA OU CONTRAVERGA EM CONCRETO ESTRUTURAL PARA VÃOS DE ATÉ 150CM, PREPARADO EM OBRA COM BETONEIRA, CONTROLE "A", COM FCK 20 MPA, MOLDADA IN LOCO, INCLUSIVE ARMAÇÃO</v>
      </c>
      <c r="C47" s="385" t="s">
        <v>147</v>
      </c>
      <c r="D47" s="386"/>
      <c r="E47" s="386"/>
      <c r="F47" s="387"/>
      <c r="G47" s="216">
        <f>ROUND((1.4*0.1*0.15),2)</f>
        <v>0.02</v>
      </c>
      <c r="H47" s="306" t="str">
        <f>Orçamento!E50</f>
        <v>M3</v>
      </c>
      <c r="I47" s="40"/>
      <c r="J47" s="40"/>
    </row>
    <row r="48" spans="1:10" s="35" customFormat="1" ht="15" outlineLevel="1" x14ac:dyDescent="0.2">
      <c r="A48" s="283" t="str">
        <f>Orçamento!A51</f>
        <v>7.1.4</v>
      </c>
      <c r="B48" s="219" t="str">
        <f>Orçamento!D51</f>
        <v>REQUADRO DE VÃO  100 X 100 CM PARA INSTALAÇÃO DE VENEZIANAS</v>
      </c>
      <c r="C48" s="385" t="s">
        <v>182</v>
      </c>
      <c r="D48" s="386"/>
      <c r="E48" s="386"/>
      <c r="F48" s="387"/>
      <c r="G48" s="237">
        <f>6</f>
        <v>6</v>
      </c>
      <c r="H48" s="306" t="str">
        <f>Orçamento!E51</f>
        <v>UN</v>
      </c>
      <c r="I48" s="40"/>
      <c r="J48" s="40"/>
    </row>
    <row r="49" spans="1:10" s="35" customFormat="1" ht="45.75" customHeight="1" outlineLevel="1" x14ac:dyDescent="0.2">
      <c r="A49" s="283" t="str">
        <f>Orçamento!A52</f>
        <v>7.1.5</v>
      </c>
      <c r="B49" s="219" t="str">
        <f>Orçamento!D52</f>
        <v>LIXAMENTO MANUAL EM PAREDE PARA REMOÇÃO DE TINTA</v>
      </c>
      <c r="C49" s="385" t="s">
        <v>235</v>
      </c>
      <c r="D49" s="386"/>
      <c r="E49" s="386"/>
      <c r="F49" s="387"/>
      <c r="G49" s="237">
        <f>ROUND((0.15*4*6)+(0.4*4*6),2)</f>
        <v>13.2</v>
      </c>
      <c r="H49" s="306" t="str">
        <f>Orçamento!E52</f>
        <v>M2</v>
      </c>
      <c r="I49" s="40"/>
      <c r="J49" s="40"/>
    </row>
    <row r="50" spans="1:10" s="35" customFormat="1" ht="44.25" customHeight="1" outlineLevel="1" x14ac:dyDescent="0.2">
      <c r="A50" s="283" t="str">
        <f>Orçamento!A53</f>
        <v>7.1.6</v>
      </c>
      <c r="B50" s="219" t="str">
        <f>Orçamento!D53</f>
        <v>PINTURA ACRÍLICA EM PAREDE, DUAS (2) DEMÃOS, EXCLUSIVE SELADOR ACRÍLICO E MASSA ACRÍLICA/CORRIDA (PVA)</v>
      </c>
      <c r="C50" s="385" t="s">
        <v>181</v>
      </c>
      <c r="D50" s="386"/>
      <c r="E50" s="386"/>
      <c r="F50" s="387"/>
      <c r="G50" s="237">
        <f>ROUND((0.15*4*6)+(0.4*4*6),2)</f>
        <v>13.2</v>
      </c>
      <c r="H50" s="306" t="str">
        <f>Orçamento!E53</f>
        <v>M2</v>
      </c>
      <c r="I50" s="40"/>
      <c r="J50" s="40"/>
    </row>
    <row r="51" spans="1:10" s="55" customFormat="1" ht="30.75" outlineLevel="1" thickBot="1" x14ac:dyDescent="0.25">
      <c r="A51" s="283" t="str">
        <f>Orçamento!A54</f>
        <v>7.1.7</v>
      </c>
      <c r="B51" s="273" t="str">
        <f>Orçamento!D54</f>
        <v>INSTALAÇÃO DE VENEZIANA JUNTO AO PISO, MEDIDAS DE 100 X 100 CM, PARA ENTRADA DE AR.</v>
      </c>
      <c r="C51" s="360" t="s">
        <v>230</v>
      </c>
      <c r="D51" s="360"/>
      <c r="E51" s="360"/>
      <c r="F51" s="360"/>
      <c r="G51" s="274">
        <v>6</v>
      </c>
      <c r="H51" s="285" t="str">
        <f>Orçamento!E54</f>
        <v>UN</v>
      </c>
      <c r="I51" s="54"/>
      <c r="J51" s="54"/>
    </row>
    <row r="52" spans="1:10" s="55" customFormat="1" ht="15.75" outlineLevel="1" thickBot="1" x14ac:dyDescent="0.25">
      <c r="A52" s="34" t="str">
        <f>Orçamento!A55</f>
        <v>7.2</v>
      </c>
      <c r="B52" s="328" t="str">
        <f>Orçamento!B55</f>
        <v>Exaustão de fumaça - Teto</v>
      </c>
      <c r="C52" s="317"/>
      <c r="D52" s="317"/>
      <c r="E52" s="317"/>
      <c r="F52" s="317"/>
      <c r="G52" s="388"/>
      <c r="H52" s="212"/>
      <c r="I52" s="54"/>
      <c r="J52" s="54"/>
    </row>
    <row r="53" spans="1:10" s="55" customFormat="1" ht="45.75" outlineLevel="1" thickBot="1" x14ac:dyDescent="0.25">
      <c r="A53" s="307" t="str">
        <f>Orçamento!A56</f>
        <v>7.2.1</v>
      </c>
      <c r="B53" s="273" t="str">
        <f>Orçamento!D56</f>
        <v>INSTALAÇÃO DE VENEZIANA PARA EXAUSTÃO DE FUMAÇA, INSTALADO NO TETO, (MEDIDAS DE 1,00 M X 1,00 M), COM RUFO E ENCAIXES, INCLUSIVE PINTURA.</v>
      </c>
      <c r="C53" s="360" t="s">
        <v>240</v>
      </c>
      <c r="D53" s="360"/>
      <c r="E53" s="360"/>
      <c r="F53" s="360"/>
      <c r="G53" s="274">
        <v>6</v>
      </c>
      <c r="H53" s="285" t="str">
        <f>Orçamento!E56</f>
        <v>UN</v>
      </c>
      <c r="I53" s="54"/>
      <c r="J53" s="54"/>
    </row>
    <row r="54" spans="1:10" ht="15" customHeight="1" thickBot="1" x14ac:dyDescent="0.25">
      <c r="A54" s="34">
        <f>Orçamento!A57</f>
        <v>8</v>
      </c>
      <c r="B54" s="358" t="str">
        <f>Orçamento!B57</f>
        <v>LIMPEZA GERAL</v>
      </c>
      <c r="C54" s="358"/>
      <c r="D54" s="358"/>
      <c r="E54" s="358"/>
      <c r="F54" s="358"/>
      <c r="G54" s="358"/>
      <c r="H54" s="359"/>
      <c r="I54" s="9"/>
      <c r="J54" s="6"/>
    </row>
    <row r="55" spans="1:10" ht="15.75" thickBot="1" x14ac:dyDescent="0.25">
      <c r="A55" s="233" t="str">
        <f>Orçamento!A58</f>
        <v>8.1</v>
      </c>
      <c r="B55" s="234" t="str">
        <f>Orçamento!D58</f>
        <v>LIMPEZA DE SUPERFÍCIE COM JATO DE ALTA PRESSÃO. AF_04/2019</v>
      </c>
      <c r="C55" s="356" t="s">
        <v>247</v>
      </c>
      <c r="D55" s="356"/>
      <c r="E55" s="356"/>
      <c r="F55" s="356"/>
      <c r="G55" s="235">
        <f>1100.67</f>
        <v>1100.67</v>
      </c>
      <c r="H55" s="236" t="str">
        <f>Orçamento!E58</f>
        <v>M2</v>
      </c>
      <c r="I55" s="9"/>
      <c r="J55" s="6"/>
    </row>
    <row r="56" spans="1:10" ht="31.5" customHeight="1" x14ac:dyDescent="0.2">
      <c r="A56" s="106"/>
      <c r="B56" s="184"/>
      <c r="C56" s="258"/>
      <c r="D56" s="258"/>
      <c r="E56" s="352" t="str">
        <f>Orçamento!F61</f>
        <v>Local e Data</v>
      </c>
      <c r="F56" s="352"/>
      <c r="G56" s="352"/>
      <c r="H56" s="353"/>
      <c r="I56" s="9"/>
      <c r="J56" s="6"/>
    </row>
    <row r="57" spans="1:10" ht="31.5" customHeight="1" x14ac:dyDescent="0.2">
      <c r="A57" s="106"/>
      <c r="B57" s="184"/>
      <c r="C57" s="258"/>
      <c r="D57" s="258"/>
      <c r="E57" s="258"/>
      <c r="F57" s="258"/>
      <c r="G57" s="258"/>
      <c r="H57" s="259"/>
      <c r="I57" s="9"/>
      <c r="J57" s="6"/>
    </row>
    <row r="58" spans="1:10" ht="15" x14ac:dyDescent="0.2">
      <c r="A58" s="2"/>
      <c r="B58" s="511" t="s">
        <v>255</v>
      </c>
      <c r="C58" s="511"/>
      <c r="D58" s="185"/>
      <c r="E58" s="357"/>
      <c r="F58" s="357"/>
      <c r="G58" s="186"/>
      <c r="H58" s="70"/>
      <c r="I58" s="9"/>
      <c r="J58" s="6"/>
    </row>
    <row r="59" spans="1:10" ht="15" x14ac:dyDescent="0.2">
      <c r="A59" s="2"/>
      <c r="B59" s="512" t="s">
        <v>256</v>
      </c>
      <c r="C59" s="512"/>
      <c r="D59" s="354"/>
      <c r="E59" s="354"/>
      <c r="F59" s="354"/>
      <c r="G59" s="354"/>
      <c r="H59" s="355"/>
      <c r="I59" s="7"/>
    </row>
    <row r="60" spans="1:10" ht="12.75" hidden="1" customHeight="1" x14ac:dyDescent="0.2">
      <c r="A60" s="2"/>
      <c r="B60" s="512" t="s">
        <v>256</v>
      </c>
      <c r="C60" s="512" t="s">
        <v>257</v>
      </c>
      <c r="D60" s="256"/>
      <c r="E60" s="256"/>
      <c r="F60" s="256"/>
      <c r="G60" s="256"/>
      <c r="H60" s="71"/>
      <c r="I60" s="3"/>
    </row>
    <row r="61" spans="1:10" ht="12.75" customHeight="1" x14ac:dyDescent="0.2">
      <c r="A61" s="2"/>
      <c r="B61" s="512" t="s">
        <v>257</v>
      </c>
      <c r="D61" s="256"/>
      <c r="E61" s="256"/>
      <c r="F61" s="256"/>
      <c r="G61" s="256"/>
      <c r="H61" s="71"/>
      <c r="I61" s="3"/>
    </row>
    <row r="62" spans="1:10" ht="12.75" customHeight="1" x14ac:dyDescent="0.2">
      <c r="A62" s="2"/>
      <c r="B62" s="351"/>
      <c r="C62" s="351"/>
      <c r="D62" s="256"/>
      <c r="E62" s="513"/>
      <c r="F62" s="513"/>
      <c r="G62" s="256"/>
      <c r="H62" s="71"/>
      <c r="I62" s="3"/>
    </row>
    <row r="63" spans="1:10" ht="12.75" customHeight="1" x14ac:dyDescent="0.2">
      <c r="A63" s="2"/>
      <c r="B63" s="257"/>
      <c r="C63" s="185"/>
      <c r="D63" s="350"/>
      <c r="E63" s="350"/>
      <c r="F63" s="256"/>
      <c r="G63" s="256"/>
      <c r="H63" s="71"/>
      <c r="I63" s="3"/>
    </row>
    <row r="64" spans="1:10" ht="13.5" thickBot="1" x14ac:dyDescent="0.25">
      <c r="A64" s="4"/>
      <c r="B64" s="5"/>
      <c r="C64" s="5"/>
      <c r="D64" s="5"/>
      <c r="E64" s="5"/>
      <c r="F64" s="5"/>
      <c r="G64" s="5"/>
      <c r="H64" s="72"/>
    </row>
    <row r="65" spans="1:8" x14ac:dyDescent="0.2">
      <c r="A65" s="10"/>
      <c r="B65" s="10"/>
      <c r="C65" s="10"/>
      <c r="D65" s="10"/>
      <c r="E65" s="10"/>
      <c r="F65" s="10"/>
      <c r="G65" s="10"/>
      <c r="H65" s="57"/>
    </row>
    <row r="66" spans="1:8" x14ac:dyDescent="0.2">
      <c r="A66" s="11"/>
      <c r="B66" s="11"/>
      <c r="C66" s="11"/>
      <c r="D66" s="11"/>
      <c r="E66" s="11"/>
      <c r="F66" s="11"/>
      <c r="G66" s="11"/>
      <c r="H66" s="58"/>
    </row>
  </sheetData>
  <sheetProtection algorithmName="SHA-512" hashValue="c/GoFTidIgDbcFT2HS4Gczk4notmhA8xH2ql8x5QR4eIXKVAbfNlIGusIa2gSkmIfINJk+FK+QJvD0H0m7fAjg==" saltValue="/xMT5YP325L1SBtTVwdzOw==" spinCount="100000" sheet="1" objects="1" scenarios="1"/>
  <protectedRanges>
    <protectedRange sqref="B61" name="Intervalo4"/>
    <protectedRange sqref="B59:B60" name="Intervalo10_6"/>
    <protectedRange sqref="B58" name="Intervalo10_4"/>
    <protectedRange sqref="C58:C59" name="Intervalo10_3"/>
  </protectedRanges>
  <mergeCells count="62">
    <mergeCell ref="C29:F29"/>
    <mergeCell ref="C49:F49"/>
    <mergeCell ref="C48:F48"/>
    <mergeCell ref="C46:F46"/>
    <mergeCell ref="B44:G44"/>
    <mergeCell ref="C45:F45"/>
    <mergeCell ref="C33:F33"/>
    <mergeCell ref="C35:F35"/>
    <mergeCell ref="B43:H43"/>
    <mergeCell ref="C40:F40"/>
    <mergeCell ref="C37:F37"/>
    <mergeCell ref="C38:F38"/>
    <mergeCell ref="C39:F39"/>
    <mergeCell ref="C42:F42"/>
    <mergeCell ref="C25:F25"/>
    <mergeCell ref="C26:F26"/>
    <mergeCell ref="C22:F22"/>
    <mergeCell ref="C11:F11"/>
    <mergeCell ref="C12:F12"/>
    <mergeCell ref="C14:F14"/>
    <mergeCell ref="C15:F15"/>
    <mergeCell ref="C16:F16"/>
    <mergeCell ref="C18:F18"/>
    <mergeCell ref="C17:F17"/>
    <mergeCell ref="C13:F13"/>
    <mergeCell ref="C20:F20"/>
    <mergeCell ref="B1:H1"/>
    <mergeCell ref="A2:H2"/>
    <mergeCell ref="A3:H3"/>
    <mergeCell ref="A4:H4"/>
    <mergeCell ref="G5:H5"/>
    <mergeCell ref="C5:F5"/>
    <mergeCell ref="C27:F27"/>
    <mergeCell ref="C7:F7"/>
    <mergeCell ref="B6:H6"/>
    <mergeCell ref="C36:F36"/>
    <mergeCell ref="B34:H34"/>
    <mergeCell ref="C10:F10"/>
    <mergeCell ref="C21:F21"/>
    <mergeCell ref="B23:H23"/>
    <mergeCell ref="B31:H31"/>
    <mergeCell ref="C32:F32"/>
    <mergeCell ref="C24:F24"/>
    <mergeCell ref="C30:F30"/>
    <mergeCell ref="C19:F19"/>
    <mergeCell ref="C28:F28"/>
    <mergeCell ref="B8:H8"/>
    <mergeCell ref="C9:F9"/>
    <mergeCell ref="D63:E63"/>
    <mergeCell ref="E62:F62"/>
    <mergeCell ref="B62:C62"/>
    <mergeCell ref="B41:H41"/>
    <mergeCell ref="E56:H56"/>
    <mergeCell ref="D59:H59"/>
    <mergeCell ref="C55:F55"/>
    <mergeCell ref="E58:F58"/>
    <mergeCell ref="B54:H54"/>
    <mergeCell ref="C53:F53"/>
    <mergeCell ref="C51:F51"/>
    <mergeCell ref="C50:F50"/>
    <mergeCell ref="B52:G52"/>
    <mergeCell ref="C47:F47"/>
  </mergeCells>
  <phoneticPr fontId="50" type="noConversion"/>
  <printOptions horizontalCentered="1"/>
  <pageMargins left="0.7" right="0.7" top="0.75" bottom="0.75" header="0.3" footer="0.3"/>
  <pageSetup paperSize="9" scale="66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8" shapeId="14337" r:id="rId4">
          <objectPr defaultSize="0" autoPict="0" r:id="rId5">
            <anchor moveWithCells="1">
              <from>
                <xdr:col>0</xdr:col>
                <xdr:colOff>295275</xdr:colOff>
                <xdr:row>0</xdr:row>
                <xdr:rowOff>66675</xdr:rowOff>
              </from>
              <to>
                <xdr:col>1</xdr:col>
                <xdr:colOff>962025</xdr:colOff>
                <xdr:row>0</xdr:row>
                <xdr:rowOff>885825</xdr:rowOff>
              </to>
            </anchor>
          </objectPr>
        </oleObject>
      </mc:Choice>
      <mc:Fallback>
        <oleObject progId="CorelDraw.Graphic.18" shapeId="1433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3">
    <pageSetUpPr fitToPage="1"/>
  </sheetPr>
  <dimension ref="A1:K40"/>
  <sheetViews>
    <sheetView view="pageBreakPreview" zoomScale="115" zoomScaleNormal="115" zoomScaleSheetLayoutView="115" workbookViewId="0">
      <selection activeCell="G12" sqref="G12"/>
    </sheetView>
  </sheetViews>
  <sheetFormatPr defaultColWidth="9.140625" defaultRowHeight="15" x14ac:dyDescent="0.25"/>
  <cols>
    <col min="1" max="1" width="9.140625" style="28"/>
    <col min="2" max="2" width="32.5703125" style="29" customWidth="1"/>
    <col min="3" max="3" width="3.7109375" style="12" customWidth="1"/>
    <col min="4" max="4" width="4.140625" style="12" customWidth="1"/>
    <col min="5" max="5" width="9.140625" style="12" hidden="1" customWidth="1"/>
    <col min="6" max="6" width="14.28515625" style="12" customWidth="1"/>
    <col min="7" max="9" width="16.5703125" style="12" bestFit="1" customWidth="1"/>
    <col min="10" max="10" width="16.28515625" style="12" customWidth="1"/>
    <col min="11" max="16384" width="9.140625" style="12"/>
  </cols>
  <sheetData>
    <row r="1" spans="1:11" ht="18" customHeight="1" x14ac:dyDescent="0.25">
      <c r="A1" s="32"/>
      <c r="B1" s="402" t="s">
        <v>37</v>
      </c>
      <c r="C1" s="402"/>
      <c r="D1" s="402"/>
      <c r="E1" s="402"/>
      <c r="F1" s="402"/>
      <c r="G1" s="402"/>
      <c r="H1" s="402"/>
      <c r="I1" s="402"/>
      <c r="J1" s="403"/>
    </row>
    <row r="2" spans="1:11" x14ac:dyDescent="0.25">
      <c r="A2" s="13"/>
      <c r="B2" s="394" t="s">
        <v>38</v>
      </c>
      <c r="C2" s="394"/>
      <c r="D2" s="394"/>
      <c r="E2" s="394"/>
      <c r="F2" s="394"/>
      <c r="G2" s="394"/>
      <c r="H2" s="394"/>
      <c r="I2" s="394"/>
      <c r="J2" s="395"/>
    </row>
    <row r="3" spans="1:11" x14ac:dyDescent="0.25">
      <c r="A3" s="13"/>
      <c r="B3" s="394" t="s">
        <v>39</v>
      </c>
      <c r="C3" s="394"/>
      <c r="D3" s="394"/>
      <c r="E3" s="394"/>
      <c r="F3" s="394"/>
      <c r="G3" s="394"/>
      <c r="H3" s="394"/>
      <c r="I3" s="394"/>
      <c r="J3" s="395"/>
    </row>
    <row r="4" spans="1:11" ht="3" customHeight="1" thickBot="1" x14ac:dyDescent="0.3">
      <c r="A4" s="14"/>
      <c r="B4" s="15"/>
      <c r="C4" s="15"/>
      <c r="D4" s="15"/>
      <c r="E4" s="15"/>
      <c r="F4" s="15"/>
      <c r="G4" s="15"/>
      <c r="H4" s="15"/>
      <c r="I4" s="15"/>
      <c r="J4" s="16"/>
    </row>
    <row r="5" spans="1:11" ht="16.5" thickBot="1" x14ac:dyDescent="0.3">
      <c r="A5" s="396" t="s">
        <v>40</v>
      </c>
      <c r="B5" s="397"/>
      <c r="C5" s="397"/>
      <c r="D5" s="397"/>
      <c r="E5" s="397"/>
      <c r="F5" s="397"/>
      <c r="G5" s="397"/>
      <c r="H5" s="397"/>
      <c r="I5" s="397"/>
      <c r="J5" s="398"/>
    </row>
    <row r="6" spans="1:11" ht="6.75" customHeight="1" thickBot="1" x14ac:dyDescent="0.3">
      <c r="A6" s="44"/>
      <c r="B6" s="161"/>
      <c r="C6" s="161"/>
      <c r="D6" s="161"/>
      <c r="E6" s="161"/>
      <c r="F6" s="161"/>
      <c r="G6" s="161"/>
      <c r="H6" s="161"/>
      <c r="I6" s="161"/>
      <c r="J6" s="45"/>
    </row>
    <row r="7" spans="1:11" ht="15" customHeight="1" thickBot="1" x14ac:dyDescent="0.3">
      <c r="A7" s="399" t="str">
        <f>Orçamento!A3</f>
        <v>OBRA: Implantação de Projeto de Segurança Contra Incêndio e Pânico no Paiolão do Parque de Exposições Antônio Secundino de São José</v>
      </c>
      <c r="B7" s="400"/>
      <c r="C7" s="400"/>
      <c r="D7" s="400"/>
      <c r="E7" s="400"/>
      <c r="F7" s="400"/>
      <c r="G7" s="400"/>
      <c r="H7" s="400"/>
      <c r="I7" s="400"/>
      <c r="J7" s="401"/>
    </row>
    <row r="8" spans="1:11" ht="6.75" customHeight="1" x14ac:dyDescent="0.25">
      <c r="A8" s="46"/>
      <c r="B8" s="162"/>
      <c r="C8" s="162"/>
      <c r="D8" s="162"/>
      <c r="E8" s="162"/>
      <c r="F8" s="162"/>
      <c r="G8" s="162"/>
      <c r="H8" s="162"/>
      <c r="I8" s="162"/>
      <c r="J8" s="47"/>
    </row>
    <row r="9" spans="1:11" s="18" customFormat="1" ht="13.5" thickBot="1" x14ac:dyDescent="0.25">
      <c r="A9" s="147" t="s">
        <v>6</v>
      </c>
      <c r="B9" s="404" t="s">
        <v>41</v>
      </c>
      <c r="C9" s="404"/>
      <c r="D9" s="404"/>
      <c r="E9" s="404"/>
      <c r="F9" s="148" t="s">
        <v>42</v>
      </c>
      <c r="G9" s="148" t="s">
        <v>251</v>
      </c>
      <c r="H9" s="260" t="s">
        <v>252</v>
      </c>
      <c r="I9" s="260" t="s">
        <v>253</v>
      </c>
      <c r="J9" s="149" t="s">
        <v>43</v>
      </c>
      <c r="K9" s="17"/>
    </row>
    <row r="10" spans="1:11" s="18" customFormat="1" ht="13.5" thickBot="1" x14ac:dyDescent="0.25">
      <c r="A10" s="409" t="s">
        <v>14</v>
      </c>
      <c r="B10" s="410"/>
      <c r="C10" s="410"/>
      <c r="D10" s="410"/>
      <c r="E10" s="410"/>
      <c r="F10" s="410"/>
      <c r="G10" s="410"/>
      <c r="H10" s="410"/>
      <c r="I10" s="410"/>
      <c r="J10" s="411"/>
      <c r="K10" s="66"/>
    </row>
    <row r="11" spans="1:11" s="18" customFormat="1" ht="12.75" x14ac:dyDescent="0.2">
      <c r="A11" s="412" t="str">
        <f>Orçamento!A9</f>
        <v>1</v>
      </c>
      <c r="B11" s="413" t="str">
        <f>Orçamento!B9</f>
        <v>SERVIÇOS PRELIMINARES</v>
      </c>
      <c r="C11" s="413"/>
      <c r="D11" s="413"/>
      <c r="E11" s="413"/>
      <c r="F11" s="414">
        <f>Orçamento!I9</f>
        <v>0</v>
      </c>
      <c r="G11" s="150">
        <f>F11*G12</f>
        <v>0</v>
      </c>
      <c r="H11" s="150">
        <f>F11*H12</f>
        <v>0</v>
      </c>
      <c r="I11" s="150">
        <f>F11*I12</f>
        <v>0</v>
      </c>
      <c r="J11" s="163">
        <f t="shared" ref="J11:J22" si="0">SUM(G11:I11)</f>
        <v>0</v>
      </c>
      <c r="K11" s="66"/>
    </row>
    <row r="12" spans="1:11" s="18" customFormat="1" ht="12.75" x14ac:dyDescent="0.2">
      <c r="A12" s="406"/>
      <c r="B12" s="408"/>
      <c r="C12" s="408"/>
      <c r="D12" s="408"/>
      <c r="E12" s="408"/>
      <c r="F12" s="407"/>
      <c r="G12" s="516">
        <v>1</v>
      </c>
      <c r="H12" s="516">
        <v>0</v>
      </c>
      <c r="I12" s="516">
        <v>0</v>
      </c>
      <c r="J12" s="164">
        <f t="shared" si="0"/>
        <v>1</v>
      </c>
      <c r="K12" s="66"/>
    </row>
    <row r="13" spans="1:11" s="19" customFormat="1" ht="11.25" x14ac:dyDescent="0.2">
      <c r="A13" s="405">
        <f>Orçamento!A11</f>
        <v>2</v>
      </c>
      <c r="B13" s="408" t="str">
        <f>Orçamento!B11</f>
        <v>ACESSO DE VIATURAS</v>
      </c>
      <c r="C13" s="408"/>
      <c r="D13" s="408"/>
      <c r="E13" s="408"/>
      <c r="F13" s="407">
        <f>Orçamento!I11</f>
        <v>0</v>
      </c>
      <c r="G13" s="146">
        <f>F13*G14</f>
        <v>0</v>
      </c>
      <c r="H13" s="146">
        <f>F13*H14</f>
        <v>0</v>
      </c>
      <c r="I13" s="146">
        <f>F13*I14</f>
        <v>0</v>
      </c>
      <c r="J13" s="165">
        <f t="shared" si="0"/>
        <v>0</v>
      </c>
    </row>
    <row r="14" spans="1:11" s="19" customFormat="1" ht="11.25" x14ac:dyDescent="0.2">
      <c r="A14" s="406"/>
      <c r="B14" s="408"/>
      <c r="C14" s="408"/>
      <c r="D14" s="408"/>
      <c r="E14" s="408"/>
      <c r="F14" s="407"/>
      <c r="G14" s="516">
        <v>0.02</v>
      </c>
      <c r="H14" s="516">
        <v>0.42</v>
      </c>
      <c r="I14" s="516">
        <v>0.56000000000000005</v>
      </c>
      <c r="J14" s="164">
        <f t="shared" si="0"/>
        <v>1</v>
      </c>
    </row>
    <row r="15" spans="1:11" s="19" customFormat="1" ht="11.25" x14ac:dyDescent="0.2">
      <c r="A15" s="405">
        <f>Orçamento!A26</f>
        <v>3</v>
      </c>
      <c r="B15" s="408" t="str">
        <f>Orçamento!B26</f>
        <v>SAÍDA DE EMERGÊNCIA</v>
      </c>
      <c r="C15" s="408"/>
      <c r="D15" s="408"/>
      <c r="E15" s="408"/>
      <c r="F15" s="407">
        <f>Orçamento!I26</f>
        <v>0</v>
      </c>
      <c r="G15" s="146">
        <f>$F$15*G16</f>
        <v>0</v>
      </c>
      <c r="H15" s="146">
        <f>F15*H16</f>
        <v>0</v>
      </c>
      <c r="I15" s="146">
        <f>F15*I16</f>
        <v>0</v>
      </c>
      <c r="J15" s="165">
        <f t="shared" si="0"/>
        <v>0</v>
      </c>
    </row>
    <row r="16" spans="1:11" s="19" customFormat="1" ht="11.25" x14ac:dyDescent="0.2">
      <c r="A16" s="405"/>
      <c r="B16" s="408"/>
      <c r="C16" s="408"/>
      <c r="D16" s="408"/>
      <c r="E16" s="408"/>
      <c r="F16" s="407"/>
      <c r="G16" s="516">
        <v>0</v>
      </c>
      <c r="H16" s="516">
        <v>0.5</v>
      </c>
      <c r="I16" s="516">
        <v>0.5</v>
      </c>
      <c r="J16" s="164">
        <f t="shared" si="0"/>
        <v>1</v>
      </c>
    </row>
    <row r="17" spans="1:10" s="19" customFormat="1" ht="11.25" customHeight="1" x14ac:dyDescent="0.2">
      <c r="A17" s="405">
        <f>Orçamento!A34</f>
        <v>4</v>
      </c>
      <c r="B17" s="408" t="str">
        <f>Orçamento!C34</f>
        <v>ILUMINAÇÃO DE EMERGÊNCIA</v>
      </c>
      <c r="C17" s="408"/>
      <c r="D17" s="408"/>
      <c r="E17" s="408"/>
      <c r="F17" s="407">
        <f>Orçamento!I34</f>
        <v>0</v>
      </c>
      <c r="G17" s="146">
        <f>F17*G18</f>
        <v>0</v>
      </c>
      <c r="H17" s="146">
        <f>F17*H18</f>
        <v>0</v>
      </c>
      <c r="I17" s="146">
        <f>F17*I18</f>
        <v>0</v>
      </c>
      <c r="J17" s="165">
        <f t="shared" si="0"/>
        <v>0</v>
      </c>
    </row>
    <row r="18" spans="1:10" s="19" customFormat="1" ht="11.25" customHeight="1" x14ac:dyDescent="0.2">
      <c r="A18" s="405"/>
      <c r="B18" s="408"/>
      <c r="C18" s="408"/>
      <c r="D18" s="408"/>
      <c r="E18" s="408"/>
      <c r="F18" s="407"/>
      <c r="G18" s="516">
        <v>0</v>
      </c>
      <c r="H18" s="516">
        <v>0.9</v>
      </c>
      <c r="I18" s="516">
        <v>0.1</v>
      </c>
      <c r="J18" s="164">
        <f t="shared" si="0"/>
        <v>1</v>
      </c>
    </row>
    <row r="19" spans="1:10" s="19" customFormat="1" ht="10.15" customHeight="1" x14ac:dyDescent="0.2">
      <c r="A19" s="405">
        <f>Orçamento!A37</f>
        <v>5</v>
      </c>
      <c r="B19" s="408" t="str">
        <f>Orçamento!B37</f>
        <v>SINALIZAÇÃO DE EMERGÊNCIA</v>
      </c>
      <c r="C19" s="408"/>
      <c r="D19" s="408"/>
      <c r="E19" s="408"/>
      <c r="F19" s="407">
        <f>Orçamento!I37</f>
        <v>0</v>
      </c>
      <c r="G19" s="146">
        <f>F19*G20</f>
        <v>0</v>
      </c>
      <c r="H19" s="146">
        <f>F19*H20</f>
        <v>0</v>
      </c>
      <c r="I19" s="146">
        <f>F19*I20</f>
        <v>0</v>
      </c>
      <c r="J19" s="165">
        <f t="shared" si="0"/>
        <v>0</v>
      </c>
    </row>
    <row r="20" spans="1:10" s="19" customFormat="1" ht="10.15" customHeight="1" x14ac:dyDescent="0.2">
      <c r="A20" s="405"/>
      <c r="B20" s="408"/>
      <c r="C20" s="408"/>
      <c r="D20" s="408"/>
      <c r="E20" s="408"/>
      <c r="F20" s="407"/>
      <c r="G20" s="516">
        <v>0</v>
      </c>
      <c r="H20" s="516">
        <v>0</v>
      </c>
      <c r="I20" s="516">
        <v>1</v>
      </c>
      <c r="J20" s="164">
        <f t="shared" si="0"/>
        <v>1</v>
      </c>
    </row>
    <row r="21" spans="1:10" s="19" customFormat="1" ht="10.15" customHeight="1" x14ac:dyDescent="0.2">
      <c r="A21" s="405">
        <f>Orçamento!A44</f>
        <v>6</v>
      </c>
      <c r="B21" s="408" t="str">
        <f>Orçamento!B44</f>
        <v>EXTINTORES</v>
      </c>
      <c r="C21" s="408"/>
      <c r="D21" s="408"/>
      <c r="E21" s="408"/>
      <c r="F21" s="407">
        <f>Orçamento!I44</f>
        <v>0</v>
      </c>
      <c r="G21" s="146">
        <f>F21*G22</f>
        <v>0</v>
      </c>
      <c r="H21" s="146">
        <f>F21*H22</f>
        <v>0</v>
      </c>
      <c r="I21" s="146">
        <f>F21*I22</f>
        <v>0</v>
      </c>
      <c r="J21" s="165">
        <f t="shared" si="0"/>
        <v>0</v>
      </c>
    </row>
    <row r="22" spans="1:10" s="19" customFormat="1" ht="10.15" customHeight="1" x14ac:dyDescent="0.2">
      <c r="A22" s="405"/>
      <c r="B22" s="408"/>
      <c r="C22" s="408"/>
      <c r="D22" s="408"/>
      <c r="E22" s="408"/>
      <c r="F22" s="407"/>
      <c r="G22" s="516">
        <v>0</v>
      </c>
      <c r="H22" s="516">
        <v>0</v>
      </c>
      <c r="I22" s="516">
        <v>1</v>
      </c>
      <c r="J22" s="164">
        <f t="shared" si="0"/>
        <v>1</v>
      </c>
    </row>
    <row r="23" spans="1:10" s="19" customFormat="1" ht="10.15" customHeight="1" x14ac:dyDescent="0.2">
      <c r="A23" s="405">
        <f>Orçamento!A46</f>
        <v>7</v>
      </c>
      <c r="B23" s="417" t="str">
        <f>Orçamento!B46</f>
        <v>CONTROLE DE FUMAÇA</v>
      </c>
      <c r="C23" s="418"/>
      <c r="D23" s="419"/>
      <c r="E23" s="231"/>
      <c r="F23" s="415">
        <f>Orçamento!I46</f>
        <v>0</v>
      </c>
      <c r="G23" s="146">
        <f>F23*G24</f>
        <v>0</v>
      </c>
      <c r="H23" s="146">
        <f>F23*H24</f>
        <v>0</v>
      </c>
      <c r="I23" s="146">
        <f>F23*I24</f>
        <v>0</v>
      </c>
      <c r="J23" s="165">
        <f t="shared" ref="J23:J24" si="1">SUM(G23:I23)</f>
        <v>0</v>
      </c>
    </row>
    <row r="24" spans="1:10" s="19" customFormat="1" ht="10.15" customHeight="1" x14ac:dyDescent="0.2">
      <c r="A24" s="405"/>
      <c r="B24" s="420"/>
      <c r="C24" s="421"/>
      <c r="D24" s="422"/>
      <c r="E24" s="231"/>
      <c r="F24" s="414"/>
      <c r="G24" s="516">
        <v>0.1</v>
      </c>
      <c r="H24" s="516">
        <v>0.4</v>
      </c>
      <c r="I24" s="516">
        <v>0.5</v>
      </c>
      <c r="J24" s="164">
        <f t="shared" si="1"/>
        <v>1</v>
      </c>
    </row>
    <row r="25" spans="1:10" s="19" customFormat="1" ht="11.25" customHeight="1" x14ac:dyDescent="0.2">
      <c r="A25" s="405">
        <f>Orçamento!A57</f>
        <v>8</v>
      </c>
      <c r="B25" s="408" t="str">
        <f>Orçamento!B57</f>
        <v>LIMPEZA GERAL</v>
      </c>
      <c r="C25" s="408"/>
      <c r="D25" s="408"/>
      <c r="E25" s="408"/>
      <c r="F25" s="407">
        <f>Orçamento!I57</f>
        <v>0</v>
      </c>
      <c r="G25" s="20">
        <f>F25*G26</f>
        <v>0</v>
      </c>
      <c r="H25" s="20">
        <f>F25*H26</f>
        <v>0</v>
      </c>
      <c r="I25" s="20">
        <f>F25*I26</f>
        <v>0</v>
      </c>
      <c r="J25" s="165">
        <f>SUM(G25:I25)</f>
        <v>0</v>
      </c>
    </row>
    <row r="26" spans="1:10" s="19" customFormat="1" ht="11.25" customHeight="1" thickBot="1" x14ac:dyDescent="0.25">
      <c r="A26" s="425"/>
      <c r="B26" s="416"/>
      <c r="C26" s="416"/>
      <c r="D26" s="416"/>
      <c r="E26" s="416"/>
      <c r="F26" s="415"/>
      <c r="G26" s="517">
        <v>0</v>
      </c>
      <c r="H26" s="517">
        <v>0</v>
      </c>
      <c r="I26" s="517">
        <v>1</v>
      </c>
      <c r="J26" s="166">
        <f>SUM(G26:I26)</f>
        <v>1</v>
      </c>
    </row>
    <row r="27" spans="1:10" s="19" customFormat="1" ht="11.25" x14ac:dyDescent="0.2">
      <c r="A27" s="21"/>
      <c r="B27" s="426" t="s">
        <v>44</v>
      </c>
      <c r="C27" s="426"/>
      <c r="D27" s="426"/>
      <c r="E27" s="426"/>
      <c r="F27" s="145">
        <f>SUM(F11:F26)</f>
        <v>0</v>
      </c>
      <c r="G27" s="22">
        <f>G11+G13+G15+G17+G19+G21+G23+G25</f>
        <v>0</v>
      </c>
      <c r="H27" s="22">
        <f>H11+H13+H15+H17+H19+H21+H23+H25</f>
        <v>0</v>
      </c>
      <c r="I27" s="22">
        <f>I11+I13+I15+I17+I19+I21+I23+I25</f>
        <v>0</v>
      </c>
      <c r="J27" s="156">
        <f>J11+J13+J15+J17+J19+J21+J23+J25</f>
        <v>0</v>
      </c>
    </row>
    <row r="28" spans="1:10" s="19" customFormat="1" ht="11.25" x14ac:dyDescent="0.2">
      <c r="A28" s="23"/>
      <c r="B28" s="427" t="s">
        <v>45</v>
      </c>
      <c r="C28" s="427"/>
      <c r="D28" s="427"/>
      <c r="E28" s="427"/>
      <c r="F28" s="144" t="s">
        <v>78</v>
      </c>
      <c r="G28" s="24">
        <f>G27</f>
        <v>0</v>
      </c>
      <c r="H28" s="24">
        <f>G28+H27</f>
        <v>0</v>
      </c>
      <c r="I28" s="24">
        <f>H28+I27</f>
        <v>0</v>
      </c>
      <c r="J28" s="25">
        <f>I28</f>
        <v>0</v>
      </c>
    </row>
    <row r="29" spans="1:10" s="19" customFormat="1" ht="11.25" x14ac:dyDescent="0.2">
      <c r="A29" s="23"/>
      <c r="B29" s="427" t="s">
        <v>46</v>
      </c>
      <c r="C29" s="427"/>
      <c r="D29" s="427"/>
      <c r="E29" s="427"/>
      <c r="F29" s="144" t="s">
        <v>78</v>
      </c>
      <c r="G29" s="26" t="e">
        <f>G27/$F$27</f>
        <v>#DIV/0!</v>
      </c>
      <c r="H29" s="26" t="e">
        <f>H27/$F$27</f>
        <v>#DIV/0!</v>
      </c>
      <c r="I29" s="26" t="e">
        <f>I27/F27</f>
        <v>#DIV/0!</v>
      </c>
      <c r="J29" s="27" t="e">
        <f>G29+H29+I29</f>
        <v>#DIV/0!</v>
      </c>
    </row>
    <row r="30" spans="1:10" s="19" customFormat="1" ht="12" thickBot="1" x14ac:dyDescent="0.25">
      <c r="A30" s="157"/>
      <c r="B30" s="424" t="s">
        <v>47</v>
      </c>
      <c r="C30" s="424"/>
      <c r="D30" s="424"/>
      <c r="E30" s="424"/>
      <c r="F30" s="158" t="s">
        <v>78</v>
      </c>
      <c r="G30" s="159" t="e">
        <f>G29</f>
        <v>#DIV/0!</v>
      </c>
      <c r="H30" s="159" t="e">
        <f>G30+H29</f>
        <v>#DIV/0!</v>
      </c>
      <c r="I30" s="159" t="e">
        <f>H30+I29</f>
        <v>#DIV/0!</v>
      </c>
      <c r="J30" s="160" t="e">
        <f>I30</f>
        <v>#DIV/0!</v>
      </c>
    </row>
    <row r="31" spans="1:10" s="19" customFormat="1" ht="11.25" x14ac:dyDescent="0.2">
      <c r="A31" s="151"/>
      <c r="B31" s="152"/>
      <c r="C31" s="152"/>
      <c r="D31" s="152"/>
      <c r="E31" s="152"/>
      <c r="F31" s="153"/>
      <c r="G31" s="154"/>
      <c r="H31" s="154"/>
      <c r="I31" s="154"/>
      <c r="J31" s="155"/>
    </row>
    <row r="32" spans="1:10" x14ac:dyDescent="0.25">
      <c r="A32" s="135"/>
      <c r="B32" s="167"/>
      <c r="C32" s="141"/>
      <c r="D32" s="141"/>
      <c r="E32" s="141"/>
      <c r="F32" s="141"/>
      <c r="G32" s="141"/>
      <c r="H32" s="428" t="str">
        <f>Orçamento!F61</f>
        <v>Local e Data</v>
      </c>
      <c r="I32" s="428"/>
      <c r="J32" s="429"/>
    </row>
    <row r="33" spans="1:10" ht="12.95" customHeight="1" x14ac:dyDescent="0.25">
      <c r="A33" s="135"/>
      <c r="B33" s="139"/>
      <c r="C33" s="168"/>
      <c r="D33" s="169"/>
      <c r="E33" s="169"/>
      <c r="F33" s="169"/>
      <c r="G33" s="169"/>
      <c r="H33" s="170"/>
      <c r="I33" s="170"/>
      <c r="J33" s="142"/>
    </row>
    <row r="34" spans="1:10" ht="12.95" customHeight="1" x14ac:dyDescent="0.25">
      <c r="A34" s="135"/>
      <c r="B34" s="139"/>
      <c r="C34" s="171"/>
      <c r="D34" s="172"/>
      <c r="E34" s="172"/>
      <c r="F34" s="172"/>
      <c r="G34" s="172"/>
      <c r="H34" s="173"/>
      <c r="I34" s="141"/>
      <c r="J34" s="174"/>
    </row>
    <row r="35" spans="1:10" ht="12.95" customHeight="1" x14ac:dyDescent="0.25">
      <c r="A35" s="135"/>
      <c r="B35" s="139"/>
      <c r="C35" s="140"/>
      <c r="D35" s="423"/>
      <c r="E35" s="423"/>
      <c r="F35" s="423"/>
      <c r="G35" s="423"/>
      <c r="H35" s="423"/>
      <c r="I35" s="141"/>
      <c r="J35" s="175"/>
    </row>
    <row r="36" spans="1:10" x14ac:dyDescent="0.25">
      <c r="A36" s="135"/>
      <c r="B36" s="167"/>
      <c r="C36" s="141"/>
      <c r="D36" s="141"/>
      <c r="E36" s="141"/>
      <c r="F36" s="514" t="s">
        <v>255</v>
      </c>
      <c r="G36" s="141"/>
      <c r="H36" s="141"/>
      <c r="I36" s="141"/>
      <c r="J36" s="175"/>
    </row>
    <row r="37" spans="1:10" x14ac:dyDescent="0.25">
      <c r="A37" s="135"/>
      <c r="B37" s="167"/>
      <c r="C37" s="141"/>
      <c r="D37" s="141"/>
      <c r="E37" s="141"/>
      <c r="F37" s="515" t="s">
        <v>256</v>
      </c>
      <c r="G37" s="141"/>
      <c r="H37" s="141"/>
      <c r="I37" s="141"/>
      <c r="J37" s="175"/>
    </row>
    <row r="38" spans="1:10" x14ac:dyDescent="0.25">
      <c r="A38" s="135"/>
      <c r="B38" s="167"/>
      <c r="C38" s="141"/>
      <c r="D38" s="141"/>
      <c r="E38" s="141"/>
      <c r="F38" s="515" t="s">
        <v>257</v>
      </c>
      <c r="G38" s="141"/>
      <c r="H38" s="141"/>
      <c r="I38" s="141"/>
      <c r="J38" s="175"/>
    </row>
    <row r="39" spans="1:10" x14ac:dyDescent="0.25">
      <c r="A39" s="135"/>
      <c r="B39" s="167"/>
      <c r="C39" s="141"/>
      <c r="D39" s="141"/>
      <c r="E39" s="141"/>
      <c r="F39" s="141"/>
      <c r="G39" s="141"/>
      <c r="H39" s="141"/>
      <c r="I39" s="141"/>
      <c r="J39" s="175"/>
    </row>
    <row r="40" spans="1:10" ht="15.75" thickBot="1" x14ac:dyDescent="0.3">
      <c r="A40" s="136"/>
      <c r="B40" s="176"/>
      <c r="C40" s="137"/>
      <c r="D40" s="137"/>
      <c r="E40" s="137"/>
      <c r="F40" s="137"/>
      <c r="G40" s="137"/>
      <c r="H40" s="137"/>
      <c r="I40" s="137"/>
      <c r="J40" s="138"/>
    </row>
  </sheetData>
  <sheetProtection algorithmName="SHA-512" hashValue="8qQ78Gbp5XReZ5d/BsksCaRgPE/GWNgVwDCTvUpVhs+tbMhqfQLrhP9vrSRZ/CHjJfL2JiQX4Nz4QQb9jUIZYQ==" saltValue="rkCxvYgvXwm3fZkVD1bwOw==" spinCount="100000" sheet="1" objects="1" scenarios="1"/>
  <protectedRanges>
    <protectedRange sqref="G14:I14" name="Intervalo12"/>
    <protectedRange sqref="F36" name="Intervalo10_1"/>
    <protectedRange sqref="F37" name="Intervalo10_2"/>
    <protectedRange sqref="F38" name="Intervalo3"/>
    <protectedRange sqref="G12:I12" name="Intervalo4"/>
    <protectedRange sqref="G14:I14" name="Intervalo5"/>
    <protectedRange sqref="G16:I16" name="Intervalo6"/>
    <protectedRange sqref="G18:I18" name="Intervalo7"/>
    <protectedRange sqref="G20:I20" name="Intervalo8"/>
    <protectedRange sqref="G22:I22" name="Intervalo9"/>
    <protectedRange sqref="G24:I24" name="Intervalo10"/>
    <protectedRange sqref="G26:I26" name="Intervalo11"/>
  </protectedRanges>
  <mergeCells count="37">
    <mergeCell ref="D35:H35"/>
    <mergeCell ref="B30:E30"/>
    <mergeCell ref="A25:A26"/>
    <mergeCell ref="B27:E27"/>
    <mergeCell ref="B28:E28"/>
    <mergeCell ref="B29:E29"/>
    <mergeCell ref="H32:J32"/>
    <mergeCell ref="F23:F24"/>
    <mergeCell ref="A23:A24"/>
    <mergeCell ref="F25:F26"/>
    <mergeCell ref="B21:E22"/>
    <mergeCell ref="B25:E26"/>
    <mergeCell ref="F21:F22"/>
    <mergeCell ref="B23:D24"/>
    <mergeCell ref="B19:E20"/>
    <mergeCell ref="F19:F20"/>
    <mergeCell ref="A19:A20"/>
    <mergeCell ref="A21:A22"/>
    <mergeCell ref="A15:A16"/>
    <mergeCell ref="F15:F16"/>
    <mergeCell ref="F17:F18"/>
    <mergeCell ref="A17:A18"/>
    <mergeCell ref="B15:E16"/>
    <mergeCell ref="B17:E18"/>
    <mergeCell ref="B9:E9"/>
    <mergeCell ref="A13:A14"/>
    <mergeCell ref="F13:F14"/>
    <mergeCell ref="B13:E14"/>
    <mergeCell ref="A10:J10"/>
    <mergeCell ref="A11:A12"/>
    <mergeCell ref="B11:E12"/>
    <mergeCell ref="F11:F12"/>
    <mergeCell ref="B2:J2"/>
    <mergeCell ref="B3:J3"/>
    <mergeCell ref="A5:J5"/>
    <mergeCell ref="A7:J7"/>
    <mergeCell ref="B1:J1"/>
  </mergeCells>
  <pageMargins left="0.51181102362204722" right="0.51181102362204722" top="0.78740157480314965" bottom="0.78740157480314965" header="0.31496062992125984" footer="0.31496062992125984"/>
  <pageSetup paperSize="9" scale="72" orientation="portrait" r:id="rId1"/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Fill="0" autoLine="0" autoPict="0" r:id="rId5">
            <anchor moveWithCells="1" sizeWithCells="1">
              <from>
                <xdr:col>7</xdr:col>
                <xdr:colOff>0</xdr:colOff>
                <xdr:row>0</xdr:row>
                <xdr:rowOff>171450</xdr:rowOff>
              </from>
              <to>
                <xdr:col>7</xdr:col>
                <xdr:colOff>0</xdr:colOff>
                <xdr:row>2</xdr:row>
                <xdr:rowOff>28575</xdr:rowOff>
              </to>
            </anchor>
          </objectPr>
        </oleObject>
      </mc:Choice>
      <mc:Fallback>
        <oleObject progId="StaticMetafile" shapeId="11265" r:id="rId4"/>
      </mc:Fallback>
    </mc:AlternateContent>
    <mc:AlternateContent xmlns:mc="http://schemas.openxmlformats.org/markup-compatibility/2006">
      <mc:Choice Requires="x14">
        <oleObject progId="CorelDraw.Graphic.18" shapeId="11266" r:id="rId6">
          <objectPr defaultSize="0" autoPict="0" r:id="rId7">
            <anchor moveWithCells="1">
              <from>
                <xdr:col>0</xdr:col>
                <xdr:colOff>466725</xdr:colOff>
                <xdr:row>0</xdr:row>
                <xdr:rowOff>47625</xdr:rowOff>
              </from>
              <to>
                <xdr:col>1</xdr:col>
                <xdr:colOff>571500</xdr:colOff>
                <xdr:row>3</xdr:row>
                <xdr:rowOff>0</xdr:rowOff>
              </to>
            </anchor>
          </objectPr>
        </oleObject>
      </mc:Choice>
      <mc:Fallback>
        <oleObject progId="CorelDraw.Graphic.18" shapeId="11266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>
    <pageSetUpPr fitToPage="1"/>
  </sheetPr>
  <dimension ref="A1:K49"/>
  <sheetViews>
    <sheetView view="pageBreakPreview" topLeftCell="A35" zoomScaleSheetLayoutView="100" workbookViewId="0">
      <selection activeCell="N33" sqref="N33"/>
    </sheetView>
  </sheetViews>
  <sheetFormatPr defaultColWidth="9.140625" defaultRowHeight="15" x14ac:dyDescent="0.25"/>
  <cols>
    <col min="1" max="1" width="31.140625" style="30" customWidth="1"/>
    <col min="2" max="16384" width="9.140625" style="30"/>
  </cols>
  <sheetData>
    <row r="1" spans="1:11" s="1" customFormat="1" ht="54.75" customHeight="1" x14ac:dyDescent="0.2">
      <c r="A1" s="437" t="s">
        <v>48</v>
      </c>
      <c r="B1" s="438"/>
      <c r="C1" s="438"/>
      <c r="D1" s="438"/>
      <c r="E1" s="438"/>
      <c r="F1" s="438"/>
      <c r="G1" s="438"/>
      <c r="H1" s="438"/>
      <c r="I1" s="438"/>
      <c r="J1" s="439"/>
      <c r="K1" s="187"/>
    </row>
    <row r="2" spans="1:11" s="33" customFormat="1" ht="15.75" x14ac:dyDescent="0.25">
      <c r="A2" s="440" t="s">
        <v>49</v>
      </c>
      <c r="B2" s="441"/>
      <c r="C2" s="441"/>
      <c r="D2" s="441"/>
      <c r="E2" s="441"/>
      <c r="F2" s="441"/>
      <c r="G2" s="441"/>
      <c r="H2" s="441"/>
      <c r="I2" s="441"/>
      <c r="J2" s="442"/>
      <c r="K2" s="188"/>
    </row>
    <row r="3" spans="1:11" s="33" customFormat="1" ht="15.75" x14ac:dyDescent="0.25">
      <c r="A3" s="440" t="s">
        <v>50</v>
      </c>
      <c r="B3" s="441"/>
      <c r="C3" s="441"/>
      <c r="D3" s="441"/>
      <c r="E3" s="441"/>
      <c r="F3" s="441"/>
      <c r="G3" s="441"/>
      <c r="H3" s="441"/>
      <c r="I3" s="441"/>
      <c r="J3" s="442"/>
      <c r="K3" s="188"/>
    </row>
    <row r="4" spans="1:11" ht="19.5" x14ac:dyDescent="0.25">
      <c r="A4" s="443" t="s">
        <v>51</v>
      </c>
      <c r="B4" s="444"/>
      <c r="C4" s="444"/>
      <c r="D4" s="444"/>
      <c r="E4" s="444"/>
      <c r="F4" s="444"/>
      <c r="G4" s="444"/>
      <c r="H4" s="444"/>
      <c r="I4" s="444"/>
      <c r="J4" s="445"/>
    </row>
    <row r="5" spans="1:11" x14ac:dyDescent="0.25">
      <c r="A5" s="446" t="s">
        <v>52</v>
      </c>
      <c r="B5" s="447" t="s">
        <v>53</v>
      </c>
      <c r="C5" s="447" t="s">
        <v>54</v>
      </c>
      <c r="D5" s="447"/>
      <c r="E5" s="447"/>
      <c r="F5" s="447"/>
      <c r="G5" s="447"/>
      <c r="H5" s="447"/>
      <c r="I5" s="447"/>
      <c r="J5" s="448" t="s">
        <v>55</v>
      </c>
    </row>
    <row r="6" spans="1:11" x14ac:dyDescent="0.25">
      <c r="A6" s="446"/>
      <c r="B6" s="447"/>
      <c r="C6" s="449" t="s">
        <v>56</v>
      </c>
      <c r="D6" s="450"/>
      <c r="E6" s="450"/>
      <c r="F6" s="450"/>
      <c r="G6" s="450" t="s">
        <v>57</v>
      </c>
      <c r="H6" s="450"/>
      <c r="I6" s="451"/>
      <c r="J6" s="448"/>
    </row>
    <row r="7" spans="1:11" ht="22.5" x14ac:dyDescent="0.25">
      <c r="A7" s="446"/>
      <c r="B7" s="447"/>
      <c r="C7" s="107">
        <v>0.02</v>
      </c>
      <c r="D7" s="107">
        <v>0.03</v>
      </c>
      <c r="E7" s="107">
        <v>0.04</v>
      </c>
      <c r="F7" s="107">
        <v>0.05</v>
      </c>
      <c r="G7" s="108" t="s">
        <v>58</v>
      </c>
      <c r="H7" s="449" t="s">
        <v>59</v>
      </c>
      <c r="I7" s="451"/>
      <c r="J7" s="448"/>
    </row>
    <row r="8" spans="1:11" x14ac:dyDescent="0.25">
      <c r="A8" s="189" t="s">
        <v>60</v>
      </c>
      <c r="B8" s="109" t="s">
        <v>61</v>
      </c>
      <c r="C8" s="110">
        <v>1</v>
      </c>
      <c r="D8" s="518">
        <v>1</v>
      </c>
      <c r="E8" s="110">
        <v>1</v>
      </c>
      <c r="F8" s="110">
        <v>1</v>
      </c>
      <c r="G8" s="110">
        <v>1</v>
      </c>
      <c r="H8" s="452">
        <v>1</v>
      </c>
      <c r="I8" s="453"/>
      <c r="J8" s="190"/>
    </row>
    <row r="9" spans="1:11" x14ac:dyDescent="0.25">
      <c r="A9" s="189" t="s">
        <v>62</v>
      </c>
      <c r="B9" s="109" t="s">
        <v>63</v>
      </c>
      <c r="C9" s="111">
        <v>5.5E-2</v>
      </c>
      <c r="D9" s="519">
        <v>5.5E-2</v>
      </c>
      <c r="E9" s="111">
        <v>5.5E-2</v>
      </c>
      <c r="F9" s="111">
        <v>5.5E-2</v>
      </c>
      <c r="G9" s="111">
        <v>3.4199999999999994E-2</v>
      </c>
      <c r="H9" s="454">
        <v>0.04</v>
      </c>
      <c r="I9" s="455"/>
      <c r="J9" s="190" t="s">
        <v>61</v>
      </c>
    </row>
    <row r="10" spans="1:11" x14ac:dyDescent="0.25">
      <c r="A10" s="189" t="s">
        <v>64</v>
      </c>
      <c r="B10" s="109" t="s">
        <v>65</v>
      </c>
      <c r="C10" s="111">
        <v>7.4999999999999997E-2</v>
      </c>
      <c r="D10" s="519">
        <v>7.4999999999999997E-2</v>
      </c>
      <c r="E10" s="111">
        <v>7.4999999999999997E-2</v>
      </c>
      <c r="F10" s="111">
        <v>7.4999999999999997E-2</v>
      </c>
      <c r="G10" s="112">
        <v>4.9399999999999999E-2</v>
      </c>
      <c r="H10" s="490">
        <v>6.1600000000000002E-2</v>
      </c>
      <c r="I10" s="491"/>
      <c r="J10" s="190" t="s">
        <v>61</v>
      </c>
    </row>
    <row r="11" spans="1:11" x14ac:dyDescent="0.25">
      <c r="A11" s="189" t="s">
        <v>66</v>
      </c>
      <c r="B11" s="109" t="s">
        <v>67</v>
      </c>
      <c r="C11" s="111">
        <v>8.3000000000000001E-3</v>
      </c>
      <c r="D11" s="519">
        <v>8.3000000000000001E-3</v>
      </c>
      <c r="E11" s="111">
        <v>8.3000000000000001E-3</v>
      </c>
      <c r="F11" s="111">
        <v>8.3000000000000001E-3</v>
      </c>
      <c r="G11" s="111">
        <v>8.3000000000000001E-3</v>
      </c>
      <c r="H11" s="454">
        <v>8.3000000000000001E-3</v>
      </c>
      <c r="I11" s="455"/>
      <c r="J11" s="190" t="s">
        <v>61</v>
      </c>
    </row>
    <row r="12" spans="1:11" x14ac:dyDescent="0.25">
      <c r="A12" s="189" t="s">
        <v>68</v>
      </c>
      <c r="B12" s="113"/>
      <c r="C12" s="114">
        <f>SUM(C13:C14)</f>
        <v>2.2699999999999998E-2</v>
      </c>
      <c r="D12" s="520">
        <f>SUM(D13:D14)</f>
        <v>2.2699999999999998E-2</v>
      </c>
      <c r="E12" s="114">
        <f>SUM(E13:E14)</f>
        <v>2.2699999999999998E-2</v>
      </c>
      <c r="F12" s="114">
        <f>SUM(F13:F14)</f>
        <v>2.2699999999999998E-2</v>
      </c>
      <c r="G12" s="114">
        <f>SUM(G13:G14)</f>
        <v>1.29E-2</v>
      </c>
      <c r="H12" s="467">
        <f>SUM(H13:I14)</f>
        <v>1.77E-2</v>
      </c>
      <c r="I12" s="468"/>
      <c r="J12" s="191" t="s">
        <v>61</v>
      </c>
    </row>
    <row r="13" spans="1:11" x14ac:dyDescent="0.25">
      <c r="A13" s="189" t="s">
        <v>69</v>
      </c>
      <c r="B13" s="109" t="s">
        <v>70</v>
      </c>
      <c r="C13" s="111">
        <v>0.01</v>
      </c>
      <c r="D13" s="519">
        <v>0.01</v>
      </c>
      <c r="E13" s="111">
        <v>0.01</v>
      </c>
      <c r="F13" s="111">
        <v>0.01</v>
      </c>
      <c r="G13" s="111">
        <v>5.3E-3</v>
      </c>
      <c r="H13" s="454">
        <v>8.0000000000000002E-3</v>
      </c>
      <c r="I13" s="455"/>
      <c r="J13" s="190" t="s">
        <v>61</v>
      </c>
    </row>
    <row r="14" spans="1:11" x14ac:dyDescent="0.25">
      <c r="A14" s="189" t="s">
        <v>71</v>
      </c>
      <c r="B14" s="109" t="s">
        <v>72</v>
      </c>
      <c r="C14" s="111">
        <v>1.2699999999999999E-2</v>
      </c>
      <c r="D14" s="519">
        <v>1.2699999999999999E-2</v>
      </c>
      <c r="E14" s="111">
        <v>1.2699999999999999E-2</v>
      </c>
      <c r="F14" s="111">
        <v>1.2699999999999999E-2</v>
      </c>
      <c r="G14" s="111">
        <v>7.6E-3</v>
      </c>
      <c r="H14" s="454">
        <v>9.7000000000000003E-3</v>
      </c>
      <c r="I14" s="455"/>
      <c r="J14" s="190" t="s">
        <v>61</v>
      </c>
    </row>
    <row r="15" spans="1:11" x14ac:dyDescent="0.25">
      <c r="A15" s="189" t="s">
        <v>73</v>
      </c>
      <c r="B15" s="109" t="s">
        <v>74</v>
      </c>
      <c r="C15" s="114">
        <f>SUM(C16:C18)</f>
        <v>4.65E-2</v>
      </c>
      <c r="D15" s="520">
        <f>SUM(D16:D18)</f>
        <v>5.1499999999999997E-2</v>
      </c>
      <c r="E15" s="114">
        <f>SUM(E16:E18)</f>
        <v>5.6499999999999995E-2</v>
      </c>
      <c r="F15" s="114">
        <f>SUM(F16:F18)</f>
        <v>6.1499999999999999E-2</v>
      </c>
      <c r="G15" s="114">
        <f>SUM(G16:G18)</f>
        <v>3.6499999999999998E-2</v>
      </c>
      <c r="H15" s="467">
        <f>SUM(H16:I18)</f>
        <v>6.1499999999999999E-2</v>
      </c>
      <c r="I15" s="468"/>
      <c r="J15" s="191" t="s">
        <v>75</v>
      </c>
    </row>
    <row r="16" spans="1:11" x14ac:dyDescent="0.25">
      <c r="A16" s="189" t="s">
        <v>76</v>
      </c>
      <c r="B16" s="113" t="s">
        <v>77</v>
      </c>
      <c r="C16" s="115">
        <v>0.01</v>
      </c>
      <c r="D16" s="519">
        <v>1.4999999999999999E-2</v>
      </c>
      <c r="E16" s="115">
        <v>0.02</v>
      </c>
      <c r="F16" s="115">
        <v>2.5000000000000001E-2</v>
      </c>
      <c r="G16" s="115" t="s">
        <v>78</v>
      </c>
      <c r="H16" s="469">
        <v>2.5000000000000001E-2</v>
      </c>
      <c r="I16" s="470"/>
      <c r="J16" s="190" t="s">
        <v>75</v>
      </c>
    </row>
    <row r="17" spans="1:10" x14ac:dyDescent="0.25">
      <c r="A17" s="189" t="s">
        <v>79</v>
      </c>
      <c r="B17" s="113" t="s">
        <v>79</v>
      </c>
      <c r="C17" s="111">
        <v>6.4999999999999997E-3</v>
      </c>
      <c r="D17" s="519">
        <v>6.4999999999999997E-3</v>
      </c>
      <c r="E17" s="111">
        <v>6.4999999999999997E-3</v>
      </c>
      <c r="F17" s="111">
        <v>6.4999999999999997E-3</v>
      </c>
      <c r="G17" s="111">
        <v>6.4999999999999997E-3</v>
      </c>
      <c r="H17" s="454">
        <v>6.4999999999999997E-3</v>
      </c>
      <c r="I17" s="455"/>
      <c r="J17" s="190" t="s">
        <v>75</v>
      </c>
    </row>
    <row r="18" spans="1:10" x14ac:dyDescent="0.25">
      <c r="A18" s="189" t="s">
        <v>80</v>
      </c>
      <c r="B18" s="113" t="s">
        <v>78</v>
      </c>
      <c r="C18" s="111">
        <v>0.03</v>
      </c>
      <c r="D18" s="519">
        <v>0.03</v>
      </c>
      <c r="E18" s="111">
        <v>0.03</v>
      </c>
      <c r="F18" s="111">
        <v>0.03</v>
      </c>
      <c r="G18" s="111">
        <v>0.03</v>
      </c>
      <c r="H18" s="454">
        <v>0.03</v>
      </c>
      <c r="I18" s="455"/>
      <c r="J18" s="190" t="s">
        <v>75</v>
      </c>
    </row>
    <row r="19" spans="1:10" x14ac:dyDescent="0.25">
      <c r="A19" s="189" t="s">
        <v>81</v>
      </c>
      <c r="B19" s="113" t="s">
        <v>82</v>
      </c>
      <c r="C19" s="116">
        <v>4.4999999999999998E-2</v>
      </c>
      <c r="D19" s="521">
        <v>4.4999999999999998E-2</v>
      </c>
      <c r="E19" s="116">
        <v>4.4999999999999998E-2</v>
      </c>
      <c r="F19" s="116">
        <v>4.4999999999999998E-2</v>
      </c>
      <c r="G19" s="116">
        <v>4.4999999999999998E-2</v>
      </c>
      <c r="H19" s="471">
        <v>4.4999999999999998E-2</v>
      </c>
      <c r="I19" s="472"/>
      <c r="J19" s="190" t="s">
        <v>75</v>
      </c>
    </row>
    <row r="20" spans="1:10" x14ac:dyDescent="0.25">
      <c r="A20" s="473"/>
      <c r="B20" s="474"/>
      <c r="C20" s="474"/>
      <c r="D20" s="474"/>
      <c r="E20" s="474"/>
      <c r="F20" s="474"/>
      <c r="G20" s="474"/>
      <c r="H20" s="474"/>
      <c r="I20" s="474"/>
      <c r="J20" s="475"/>
    </row>
    <row r="21" spans="1:10" x14ac:dyDescent="0.25">
      <c r="A21" s="476" t="s">
        <v>83</v>
      </c>
      <c r="B21" s="477"/>
      <c r="C21" s="480" t="s">
        <v>84</v>
      </c>
      <c r="D21" s="481"/>
      <c r="E21" s="481"/>
      <c r="F21" s="481"/>
      <c r="G21" s="481"/>
      <c r="H21" s="481"/>
      <c r="I21" s="481"/>
      <c r="J21" s="482"/>
    </row>
    <row r="22" spans="1:10" x14ac:dyDescent="0.25">
      <c r="A22" s="478"/>
      <c r="B22" s="479"/>
      <c r="C22" s="483" t="s">
        <v>85</v>
      </c>
      <c r="D22" s="484"/>
      <c r="E22" s="484"/>
      <c r="F22" s="484"/>
      <c r="G22" s="484"/>
      <c r="H22" s="484"/>
      <c r="I22" s="484"/>
      <c r="J22" s="485"/>
    </row>
    <row r="23" spans="1:10" x14ac:dyDescent="0.25">
      <c r="A23" s="430" t="s">
        <v>86</v>
      </c>
      <c r="B23" s="431"/>
      <c r="C23" s="117">
        <f t="shared" ref="C23:H23" si="0">(1+(C9+C12))*(1+C11)*(1+C10)-1</f>
        <v>0.16814327825000008</v>
      </c>
      <c r="D23" s="117">
        <f t="shared" si="0"/>
        <v>0.16814327825000008</v>
      </c>
      <c r="E23" s="117">
        <f t="shared" si="0"/>
        <v>0.16814327825000008</v>
      </c>
      <c r="F23" s="117">
        <f t="shared" si="0"/>
        <v>0.16814327825000008</v>
      </c>
      <c r="G23" s="117">
        <f t="shared" si="0"/>
        <v>0.10794700194199969</v>
      </c>
      <c r="H23" s="432">
        <f t="shared" si="0"/>
        <v>0.13217401085600011</v>
      </c>
      <c r="I23" s="433"/>
      <c r="J23" s="434"/>
    </row>
    <row r="24" spans="1:10" ht="15.75" thickBot="1" x14ac:dyDescent="0.3">
      <c r="A24" s="430" t="s">
        <v>87</v>
      </c>
      <c r="B24" s="431"/>
      <c r="C24" s="117">
        <f t="shared" ref="C24:H24" si="1">(1-(C15+C19))</f>
        <v>0.90849999999999997</v>
      </c>
      <c r="D24" s="118">
        <f t="shared" si="1"/>
        <v>0.90349999999999997</v>
      </c>
      <c r="E24" s="117">
        <f t="shared" si="1"/>
        <v>0.89849999999999997</v>
      </c>
      <c r="F24" s="117">
        <f t="shared" si="1"/>
        <v>0.89349999999999996</v>
      </c>
      <c r="G24" s="117">
        <f t="shared" si="1"/>
        <v>0.91849999999999998</v>
      </c>
      <c r="H24" s="432">
        <f t="shared" si="1"/>
        <v>0.89349999999999996</v>
      </c>
      <c r="I24" s="433"/>
      <c r="J24" s="435"/>
    </row>
    <row r="25" spans="1:10" x14ac:dyDescent="0.25">
      <c r="A25" s="486" t="s">
        <v>88</v>
      </c>
      <c r="B25" s="487"/>
      <c r="C25" s="494">
        <f t="shared" ref="C25:H25" si="2">(1+C23)/C24-1</f>
        <v>0.28579337176664854</v>
      </c>
      <c r="D25" s="522">
        <f t="shared" si="2"/>
        <v>0.29290899640287793</v>
      </c>
      <c r="E25" s="496">
        <f t="shared" si="2"/>
        <v>0.30010381552587662</v>
      </c>
      <c r="F25" s="498">
        <f t="shared" si="2"/>
        <v>0.30737915864577525</v>
      </c>
      <c r="G25" s="498">
        <f t="shared" si="2"/>
        <v>0.20625694277844286</v>
      </c>
      <c r="H25" s="492">
        <f t="shared" si="2"/>
        <v>0.26712256391270306</v>
      </c>
      <c r="I25" s="487"/>
      <c r="J25" s="435"/>
    </row>
    <row r="26" spans="1:10" ht="15.75" thickBot="1" x14ac:dyDescent="0.3">
      <c r="A26" s="488"/>
      <c r="B26" s="489"/>
      <c r="C26" s="495"/>
      <c r="D26" s="523"/>
      <c r="E26" s="497"/>
      <c r="F26" s="499"/>
      <c r="G26" s="499"/>
      <c r="H26" s="493"/>
      <c r="I26" s="489"/>
      <c r="J26" s="436"/>
    </row>
    <row r="27" spans="1:10" x14ac:dyDescent="0.25">
      <c r="A27" s="457" t="s">
        <v>89</v>
      </c>
      <c r="B27" s="458"/>
      <c r="C27" s="458"/>
      <c r="D27" s="459"/>
      <c r="E27" s="458"/>
      <c r="F27" s="458"/>
      <c r="G27" s="458"/>
      <c r="H27" s="458"/>
      <c r="I27" s="458"/>
      <c r="J27" s="460"/>
    </row>
    <row r="28" spans="1:10" ht="15" customHeight="1" x14ac:dyDescent="0.25">
      <c r="A28" s="464" t="s">
        <v>90</v>
      </c>
      <c r="B28" s="465"/>
      <c r="C28" s="465"/>
      <c r="D28" s="465"/>
      <c r="E28" s="465"/>
      <c r="F28" s="465"/>
      <c r="G28" s="465"/>
      <c r="H28" s="465"/>
      <c r="I28" s="465"/>
      <c r="J28" s="466"/>
    </row>
    <row r="29" spans="1:10" x14ac:dyDescent="0.25">
      <c r="A29" s="464"/>
      <c r="B29" s="465"/>
      <c r="C29" s="465"/>
      <c r="D29" s="465"/>
      <c r="E29" s="465"/>
      <c r="F29" s="465"/>
      <c r="G29" s="465"/>
      <c r="H29" s="465"/>
      <c r="I29" s="465"/>
      <c r="J29" s="466"/>
    </row>
    <row r="30" spans="1:10" x14ac:dyDescent="0.25">
      <c r="A30" s="464"/>
      <c r="B30" s="465"/>
      <c r="C30" s="465"/>
      <c r="D30" s="465"/>
      <c r="E30" s="465"/>
      <c r="F30" s="465"/>
      <c r="G30" s="465"/>
      <c r="H30" s="465"/>
      <c r="I30" s="465"/>
      <c r="J30" s="466"/>
    </row>
    <row r="31" spans="1:10" x14ac:dyDescent="0.25">
      <c r="A31" s="464"/>
      <c r="B31" s="465"/>
      <c r="C31" s="465"/>
      <c r="D31" s="465"/>
      <c r="E31" s="465"/>
      <c r="F31" s="465"/>
      <c r="G31" s="465"/>
      <c r="H31" s="465"/>
      <c r="I31" s="465"/>
      <c r="J31" s="466"/>
    </row>
    <row r="32" spans="1:10" x14ac:dyDescent="0.25">
      <c r="A32" s="464"/>
      <c r="B32" s="465"/>
      <c r="C32" s="465"/>
      <c r="D32" s="465"/>
      <c r="E32" s="465"/>
      <c r="F32" s="465"/>
      <c r="G32" s="465"/>
      <c r="H32" s="465"/>
      <c r="I32" s="465"/>
      <c r="J32" s="466"/>
    </row>
    <row r="33" spans="1:10" x14ac:dyDescent="0.25">
      <c r="A33" s="464"/>
      <c r="B33" s="465"/>
      <c r="C33" s="465"/>
      <c r="D33" s="465"/>
      <c r="E33" s="465"/>
      <c r="F33" s="465"/>
      <c r="G33" s="465"/>
      <c r="H33" s="465"/>
      <c r="I33" s="465"/>
      <c r="J33" s="466"/>
    </row>
    <row r="34" spans="1:10" x14ac:dyDescent="0.25">
      <c r="A34" s="464"/>
      <c r="B34" s="465"/>
      <c r="C34" s="465"/>
      <c r="D34" s="465"/>
      <c r="E34" s="465"/>
      <c r="F34" s="465"/>
      <c r="G34" s="465"/>
      <c r="H34" s="465"/>
      <c r="I34" s="465"/>
      <c r="J34" s="466"/>
    </row>
    <row r="35" spans="1:10" ht="30" x14ac:dyDescent="0.25">
      <c r="A35" s="192"/>
      <c r="B35" s="193"/>
      <c r="D35" s="143"/>
      <c r="E35" s="143"/>
      <c r="F35" s="461" t="str">
        <f>Orçamento!F61</f>
        <v>Local e Data</v>
      </c>
      <c r="G35" s="462"/>
      <c r="H35" s="462"/>
      <c r="I35" s="462"/>
      <c r="J35" s="463"/>
    </row>
    <row r="36" spans="1:10" ht="30" x14ac:dyDescent="0.25">
      <c r="A36" s="192"/>
      <c r="B36" s="193"/>
      <c r="C36" s="514"/>
      <c r="D36" s="143"/>
      <c r="E36" s="143"/>
      <c r="F36" s="308"/>
      <c r="G36" s="309"/>
      <c r="H36" s="309"/>
      <c r="I36" s="309"/>
      <c r="J36" s="310"/>
    </row>
    <row r="37" spans="1:10" ht="21" customHeight="1" x14ac:dyDescent="0.25">
      <c r="A37" s="192"/>
      <c r="B37" s="193"/>
      <c r="C37" s="511" t="s">
        <v>255</v>
      </c>
      <c r="D37" s="143"/>
      <c r="E37" s="143"/>
      <c r="F37" s="308"/>
      <c r="G37" s="309"/>
      <c r="H37" s="309"/>
      <c r="I37" s="309"/>
      <c r="J37" s="310"/>
    </row>
    <row r="38" spans="1:10" ht="12" customHeight="1" x14ac:dyDescent="0.25">
      <c r="A38" s="192"/>
      <c r="B38" s="193"/>
      <c r="C38" s="515" t="s">
        <v>256</v>
      </c>
      <c r="D38" s="143"/>
      <c r="E38" s="143"/>
      <c r="F38" s="308"/>
      <c r="G38" s="309"/>
      <c r="H38" s="309"/>
      <c r="I38" s="309"/>
      <c r="J38" s="310"/>
    </row>
    <row r="39" spans="1:10" ht="11.25" customHeight="1" x14ac:dyDescent="0.25">
      <c r="A39" s="192"/>
      <c r="B39" s="193"/>
      <c r="C39" s="515" t="s">
        <v>257</v>
      </c>
      <c r="D39" s="143"/>
      <c r="E39" s="143"/>
      <c r="F39" s="308"/>
      <c r="G39" s="309"/>
      <c r="H39" s="309"/>
      <c r="I39" s="309"/>
      <c r="J39" s="310"/>
    </row>
    <row r="40" spans="1:10" ht="24.75" customHeight="1" thickBot="1" x14ac:dyDescent="0.3">
      <c r="A40" s="194"/>
      <c r="B40" s="195"/>
      <c r="C40" s="195"/>
      <c r="D40" s="196"/>
      <c r="E40" s="196"/>
      <c r="F40" s="197"/>
      <c r="G40" s="198"/>
      <c r="H40" s="198"/>
      <c r="I40" s="198"/>
      <c r="J40" s="199"/>
    </row>
    <row r="41" spans="1:10" ht="15.75" x14ac:dyDescent="0.25">
      <c r="A41" s="31" t="s">
        <v>91</v>
      </c>
    </row>
    <row r="42" spans="1:10" x14ac:dyDescent="0.25">
      <c r="A42" s="456" t="s">
        <v>92</v>
      </c>
      <c r="B42" s="456"/>
      <c r="C42" s="456"/>
      <c r="D42" s="456"/>
      <c r="E42" s="456"/>
      <c r="F42" s="456"/>
      <c r="G42" s="456"/>
      <c r="H42" s="456"/>
      <c r="I42" s="456"/>
      <c r="J42" s="456"/>
    </row>
    <row r="43" spans="1:10" x14ac:dyDescent="0.25">
      <c r="A43" s="456"/>
      <c r="B43" s="456"/>
      <c r="C43" s="456"/>
      <c r="D43" s="456"/>
      <c r="E43" s="456"/>
      <c r="F43" s="456"/>
      <c r="G43" s="456"/>
      <c r="H43" s="456"/>
      <c r="I43" s="456"/>
      <c r="J43" s="456"/>
    </row>
    <row r="44" spans="1:10" x14ac:dyDescent="0.25">
      <c r="A44" s="456"/>
      <c r="B44" s="456"/>
      <c r="C44" s="456"/>
      <c r="D44" s="456"/>
      <c r="E44" s="456"/>
      <c r="F44" s="456"/>
      <c r="G44" s="456"/>
      <c r="H44" s="456"/>
      <c r="I44" s="456"/>
      <c r="J44" s="456"/>
    </row>
    <row r="45" spans="1:10" x14ac:dyDescent="0.25">
      <c r="A45" s="456"/>
      <c r="B45" s="456"/>
      <c r="C45" s="456"/>
      <c r="D45" s="456"/>
      <c r="E45" s="456"/>
      <c r="F45" s="456"/>
      <c r="G45" s="456"/>
      <c r="H45" s="456"/>
      <c r="I45" s="456"/>
      <c r="J45" s="456"/>
    </row>
    <row r="46" spans="1:10" x14ac:dyDescent="0.25">
      <c r="A46" s="456"/>
      <c r="B46" s="456"/>
      <c r="C46" s="456"/>
      <c r="D46" s="456"/>
      <c r="E46" s="456"/>
      <c r="F46" s="456"/>
      <c r="G46" s="456"/>
      <c r="H46" s="456"/>
      <c r="I46" s="456"/>
      <c r="J46" s="456"/>
    </row>
    <row r="47" spans="1:10" x14ac:dyDescent="0.25">
      <c r="A47" s="456"/>
      <c r="B47" s="456"/>
      <c r="C47" s="456"/>
      <c r="D47" s="456"/>
      <c r="E47" s="456"/>
      <c r="F47" s="456"/>
      <c r="G47" s="456"/>
      <c r="H47" s="456"/>
      <c r="I47" s="456"/>
      <c r="J47" s="456"/>
    </row>
    <row r="48" spans="1:10" x14ac:dyDescent="0.25">
      <c r="A48" s="456"/>
      <c r="B48" s="456"/>
      <c r="C48" s="456"/>
      <c r="D48" s="456"/>
      <c r="E48" s="456"/>
      <c r="F48" s="456"/>
      <c r="G48" s="456"/>
      <c r="H48" s="456"/>
      <c r="I48" s="456"/>
      <c r="J48" s="456"/>
    </row>
    <row r="49" spans="1:10" x14ac:dyDescent="0.25">
      <c r="A49" s="456"/>
      <c r="B49" s="456"/>
      <c r="C49" s="456"/>
      <c r="D49" s="456"/>
      <c r="E49" s="456"/>
      <c r="F49" s="456"/>
      <c r="G49" s="456"/>
      <c r="H49" s="456"/>
      <c r="I49" s="456"/>
      <c r="J49" s="456"/>
    </row>
  </sheetData>
  <sheetProtection algorithmName="SHA-512" hashValue="Xk0Nc9//bAJpyHif7FpJQASunMP6m2tCO8kj3Na6KoYD4DE1ERHut9kA9Zy8WNet8PD/gCL4ruY2A29D+4xSEw==" saltValue="d7KBVzIijRPAqYggbkEelg==" spinCount="100000" sheet="1" objects="1" scenarios="1"/>
  <protectedRanges>
    <protectedRange sqref="C39" name="Intervalo5"/>
    <protectedRange sqref="D8:D19" name="Intervalo3"/>
    <protectedRange sqref="C38" name="Intervalo10_2"/>
    <protectedRange sqref="C36:C37" name="Intervalo10"/>
    <protectedRange sqref="F35" name="Intervalo4"/>
  </protectedRanges>
  <mergeCells count="43">
    <mergeCell ref="H25:I26"/>
    <mergeCell ref="C25:C26"/>
    <mergeCell ref="D25:D26"/>
    <mergeCell ref="E25:E26"/>
    <mergeCell ref="F25:F26"/>
    <mergeCell ref="G25:G26"/>
    <mergeCell ref="H12:I12"/>
    <mergeCell ref="H13:I13"/>
    <mergeCell ref="H14:I14"/>
    <mergeCell ref="H9:I9"/>
    <mergeCell ref="H10:I10"/>
    <mergeCell ref="A42:J49"/>
    <mergeCell ref="A27:J27"/>
    <mergeCell ref="F35:J35"/>
    <mergeCell ref="A28:J34"/>
    <mergeCell ref="H15:I15"/>
    <mergeCell ref="H16:I16"/>
    <mergeCell ref="H17:I17"/>
    <mergeCell ref="H18:I18"/>
    <mergeCell ref="H19:I19"/>
    <mergeCell ref="A20:J20"/>
    <mergeCell ref="A21:B22"/>
    <mergeCell ref="C21:J21"/>
    <mergeCell ref="C22:J22"/>
    <mergeCell ref="A24:B24"/>
    <mergeCell ref="H24:I24"/>
    <mergeCell ref="A25:B26"/>
    <mergeCell ref="A23:B23"/>
    <mergeCell ref="H23:I23"/>
    <mergeCell ref="J23:J26"/>
    <mergeCell ref="A1:J1"/>
    <mergeCell ref="A2:J2"/>
    <mergeCell ref="A3:J3"/>
    <mergeCell ref="A4:J4"/>
    <mergeCell ref="A5:A7"/>
    <mergeCell ref="B5:B7"/>
    <mergeCell ref="C5:I5"/>
    <mergeCell ref="J5:J7"/>
    <mergeCell ref="C6:F6"/>
    <mergeCell ref="G6:I6"/>
    <mergeCell ref="H7:I7"/>
    <mergeCell ref="H8:I8"/>
    <mergeCell ref="H11:I11"/>
  </mergeCells>
  <pageMargins left="0.511811024" right="0.511811024" top="0.78740157499999996" bottom="0.78740157499999996" header="0.31496062000000002" footer="0.31496062000000002"/>
  <pageSetup paperSize="9" scale="8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8" shapeId="16385" r:id="rId4">
          <objectPr defaultSize="0" autoPict="0" r:id="rId5">
            <anchor moveWithCells="1">
              <from>
                <xdr:col>0</xdr:col>
                <xdr:colOff>295275</xdr:colOff>
                <xdr:row>0</xdr:row>
                <xdr:rowOff>66675</xdr:rowOff>
              </from>
              <to>
                <xdr:col>0</xdr:col>
                <xdr:colOff>1009650</xdr:colOff>
                <xdr:row>0</xdr:row>
                <xdr:rowOff>619125</xdr:rowOff>
              </to>
            </anchor>
          </objectPr>
        </oleObject>
      </mc:Choice>
      <mc:Fallback>
        <oleObject progId="CorelDraw.Graphic.18" shapeId="163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</vt:lpstr>
      <vt:lpstr>Memória de Cálculo</vt:lpstr>
      <vt:lpstr>Cronograma</vt:lpstr>
      <vt:lpstr>BDI</vt:lpstr>
      <vt:lpstr>BDI!Area_de_impressao</vt:lpstr>
      <vt:lpstr>Cronograma!Area_de_impressao</vt:lpstr>
      <vt:lpstr>'Memória de Cálculo'!Area_de_impressao</vt:lpstr>
      <vt:lpstr>'Memória de Cálculo'!Titulos_de_impressao</vt:lpstr>
    </vt:vector>
  </TitlesOfParts>
  <Manager/>
  <Company>Setop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M1339928</dc:creator>
  <cp:keywords/>
  <dc:description/>
  <cp:lastModifiedBy>PPO-USER</cp:lastModifiedBy>
  <cp:revision/>
  <cp:lastPrinted>2024-05-02T17:38:05Z</cp:lastPrinted>
  <dcterms:created xsi:type="dcterms:W3CDTF">2006-09-22T13:55:22Z</dcterms:created>
  <dcterms:modified xsi:type="dcterms:W3CDTF">2024-05-02T18:17:22Z</dcterms:modified>
  <cp:category/>
  <cp:contentStatus/>
</cp:coreProperties>
</file>