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embeddings/oleObject7.bin" ContentType="application/vnd.openxmlformats-officedocument.oleObject"/>
  <Override PartName="/xl/drawings/drawing8.xml" ContentType="application/vnd.openxmlformats-officedocument.drawing+xml"/>
  <Override PartName="/xl/embeddings/oleObject8.bin" ContentType="application/vnd.openxmlformats-officedocument.oleObject"/>
  <Override PartName="/xl/drawings/drawing9.xml" ContentType="application/vnd.openxmlformats-officedocument.drawing+xml"/>
  <Override PartName="/xl/embeddings/oleObject9.bin" ContentType="application/vnd.openxmlformats-officedocument.oleObject"/>
  <Override PartName="/xl/drawings/drawing10.xml" ContentType="application/vnd.openxmlformats-officedocument.drawing+xml"/>
  <Override PartName="/xl/embeddings/oleObject10.bin" ContentType="application/vnd.openxmlformats-officedocument.oleObject"/>
  <Override PartName="/xl/drawings/drawing11.xml" ContentType="application/vnd.openxmlformats-officedocument.drawing+xml"/>
  <Override PartName="/xl/embeddings/oleObject11.bin" ContentType="application/vnd.openxmlformats-officedocument.oleObject"/>
  <Override PartName="/xl/drawings/drawing12.xml" ContentType="application/vnd.openxmlformats-officedocument.drawing+xml"/>
  <Override PartName="/xl/embeddings/oleObject12.bin" ContentType="application/vnd.openxmlformats-officedocument.oleObject"/>
  <Override PartName="/xl/drawings/drawing13.xml" ContentType="application/vnd.openxmlformats-officedocument.drawing+xml"/>
  <Override PartName="/xl/embeddings/oleObject13.bin" ContentType="application/vnd.openxmlformats-officedocument.oleObject"/>
  <Override PartName="/xl/drawings/drawing14.xml" ContentType="application/vnd.openxmlformats-officedocument.drawing+xml"/>
  <Override PartName="/xl/embeddings/oleObject14.bin" ContentType="application/vnd.openxmlformats-officedocument.oleObject"/>
  <Override PartName="/xl/drawings/drawing15.xml" ContentType="application/vnd.openxmlformats-officedocument.drawing+xml"/>
  <Override PartName="/xl/embeddings/oleObject15.bin" ContentType="application/vnd.openxmlformats-officedocument.oleObject"/>
  <Override PartName="/xl/drawings/drawing16.xml" ContentType="application/vnd.openxmlformats-officedocument.drawing+xml"/>
  <Override PartName="/xl/embeddings/oleObject16.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10.1.1.3\Obras$\SECRETARIA DE OBRAS\Flavio\OUTROS\COLETA DE LIXO\LICITAÇÃO 2026\Arquivos Oficiais\Arquivos Para Licitação\ORÇAMENTO  RV01\"/>
    </mc:Choice>
  </mc:AlternateContent>
  <xr:revisionPtr revIDLastSave="0" documentId="13_ncr:1_{69BEBC28-1FEB-4CA9-8D5D-FCC3BC8DE770}" xr6:coauthVersionLast="45" xr6:coauthVersionMax="45" xr10:uidLastSave="{00000000-0000-0000-0000-000000000000}"/>
  <bookViews>
    <workbookView xWindow="-120" yWindow="-120" windowWidth="24240" windowHeight="13140" tabRatio="797" firstSheet="9" activeTab="15" xr2:uid="{09935851-A794-4597-965C-CBF60E1D8352}"/>
  </bookViews>
  <sheets>
    <sheet name="INF. BÁSICAS" sheetId="1" r:id="rId1"/>
    <sheet name="ENCARGOS " sheetId="75" r:id="rId2"/>
    <sheet name="EPI" sheetId="7" r:id="rId3"/>
    <sheet name="BDI" sheetId="74" r:id="rId4"/>
    <sheet name="COLETA URBANA" sheetId="10" r:id="rId5"/>
    <sheet name="COLETA RURAL" sheetId="59" r:id="rId6"/>
    <sheet name="CAMINHÃO BASC. URBANO" sheetId="68" r:id="rId7"/>
    <sheet name="CAMINHÃO BASC. RURAL" sheetId="70" r:id="rId8"/>
    <sheet name="CRONOGRAMA DE COLETA" sheetId="66" r:id="rId9"/>
    <sheet name="M.O. COLETA" sheetId="4" r:id="rId10"/>
    <sheet name="RESUMO COLETA URB" sheetId="5" r:id="rId11"/>
    <sheet name="RESUMO COLETA RURAL" sheetId="61" r:id="rId12"/>
    <sheet name="VEÍCULO UTILITÁRIO - PICKUP" sheetId="71" r:id="rId13"/>
    <sheet name="M.O. ADM LOCAL" sheetId="58" r:id="rId14"/>
    <sheet name="ADM. LOCAL" sheetId="12" r:id="rId15"/>
    <sheet name="RESUMO GLOBAL" sheetId="55" r:id="rId16"/>
  </sheets>
  <externalReferences>
    <externalReference r:id="rId17"/>
  </externalReferences>
  <definedNames>
    <definedName name="_Fill" localSheetId="4" hidden="1">#REF!</definedName>
    <definedName name="_Fill" localSheetId="1" hidden="1">#REF!</definedName>
    <definedName name="_Fill" localSheetId="2" hidden="1">#REF!</definedName>
    <definedName name="_Fill" localSheetId="0" hidden="1">#REF!</definedName>
    <definedName name="_Fill" localSheetId="11" hidden="1">#REF!</definedName>
    <definedName name="_Fill" localSheetId="10" hidden="1">#REF!</definedName>
    <definedName name="_Fill" localSheetId="15" hidden="1">#REF!</definedName>
    <definedName name="_Fill" hidden="1">#REF!</definedName>
    <definedName name="_xlnm._FilterDatabase" localSheetId="4" hidden="1">#REF!</definedName>
    <definedName name="_xlnm._FilterDatabase" localSheetId="1" hidden="1">#REF!</definedName>
    <definedName name="_xlnm._FilterDatabase" localSheetId="2" hidden="1">#REF!</definedName>
    <definedName name="_xlnm._FilterDatabase" localSheetId="0" hidden="1">#REF!</definedName>
    <definedName name="_xlnm._FilterDatabase" localSheetId="11" hidden="1">#REF!</definedName>
    <definedName name="_xlnm._FilterDatabase" localSheetId="10" hidden="1">#REF!</definedName>
    <definedName name="_xlnm._FilterDatabase" localSheetId="15" hidden="1">#REF!</definedName>
    <definedName name="_xlnm._FilterDatabase" hidden="1">#REF!</definedName>
    <definedName name="_Key1" hidden="1">#REF!</definedName>
    <definedName name="_Key2" hidden="1">#REF!</definedName>
    <definedName name="_Order1" hidden="1">255</definedName>
    <definedName name="_Order2"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AAA" localSheetId="4" hidden="1">{#N/A,#N/A,FALSE,"SYSOC";#N/A,#N/A,FALSE,"RESU-GESTION";#N/A,#N/A,FALSE,"EVOL-MNA";#N/A,#N/A,FALSE,"VTAS-ANALI";#N/A,#N/A,FALSE,"ANALI-GSFIJOS";#N/A,#N/A,FALSE,"DETA-RUBROS";#N/A,#N/A,FALSE,"ANALI-CNF";#N/A,#N/A,FALSE,"BILAN";#N/A,#N/A,FALSE,"TAB_FIN";#N/A,#N/A,FALSE,"IND_ECO"}</definedName>
    <definedName name="AAA" localSheetId="1" hidden="1">{#N/A,#N/A,FALSE,"SYSOC";#N/A,#N/A,FALSE,"RESU-GESTION";#N/A,#N/A,FALSE,"EVOL-MNA";#N/A,#N/A,FALSE,"VTAS-ANALI";#N/A,#N/A,FALSE,"ANALI-GSFIJOS";#N/A,#N/A,FALSE,"DETA-RUBROS";#N/A,#N/A,FALSE,"ANALI-CNF";#N/A,#N/A,FALSE,"BILAN";#N/A,#N/A,FALSE,"TAB_FIN";#N/A,#N/A,FALSE,"IND_ECO"}</definedName>
    <definedName name="AAA" localSheetId="2" hidden="1">{#N/A,#N/A,FALSE,"SYSOC";#N/A,#N/A,FALSE,"RESU-GESTION";#N/A,#N/A,FALSE,"EVOL-MNA";#N/A,#N/A,FALSE,"VTAS-ANALI";#N/A,#N/A,FALSE,"ANALI-GSFIJOS";#N/A,#N/A,FALSE,"DETA-RUBROS";#N/A,#N/A,FALSE,"ANALI-CNF";#N/A,#N/A,FALSE,"BILAN";#N/A,#N/A,FALSE,"TAB_FIN";#N/A,#N/A,FALSE,"IND_ECO"}</definedName>
    <definedName name="AAA" localSheetId="0" hidden="1">{#N/A,#N/A,FALSE,"SYSOC";#N/A,#N/A,FALSE,"RESU-GESTION";#N/A,#N/A,FALSE,"EVOL-MNA";#N/A,#N/A,FALSE,"VTAS-ANALI";#N/A,#N/A,FALSE,"ANALI-GSFIJOS";#N/A,#N/A,FALSE,"DETA-RUBROS";#N/A,#N/A,FALSE,"ANALI-CNF";#N/A,#N/A,FALSE,"BILAN";#N/A,#N/A,FALSE,"TAB_FIN";#N/A,#N/A,FALSE,"IND_ECO"}</definedName>
    <definedName name="AAA" localSheetId="11" hidden="1">{#N/A,#N/A,FALSE,"SYSOC";#N/A,#N/A,FALSE,"RESU-GESTION";#N/A,#N/A,FALSE,"EVOL-MNA";#N/A,#N/A,FALSE,"VTAS-ANALI";#N/A,#N/A,FALSE,"ANALI-GSFIJOS";#N/A,#N/A,FALSE,"DETA-RUBROS";#N/A,#N/A,FALSE,"ANALI-CNF";#N/A,#N/A,FALSE,"BILAN";#N/A,#N/A,FALSE,"TAB_FIN";#N/A,#N/A,FALSE,"IND_ECO"}</definedName>
    <definedName name="AAA" localSheetId="10" hidden="1">{#N/A,#N/A,FALSE,"SYSOC";#N/A,#N/A,FALSE,"RESU-GESTION";#N/A,#N/A,FALSE,"EVOL-MNA";#N/A,#N/A,FALSE,"VTAS-ANALI";#N/A,#N/A,FALSE,"ANALI-GSFIJOS";#N/A,#N/A,FALSE,"DETA-RUBROS";#N/A,#N/A,FALSE,"ANALI-CNF";#N/A,#N/A,FALSE,"BILAN";#N/A,#N/A,FALSE,"TAB_FIN";#N/A,#N/A,FALSE,"IND_ECO"}</definedName>
    <definedName name="AAA" localSheetId="15" hidden="1">{#N/A,#N/A,FALSE,"SYSOC";#N/A,#N/A,FALSE,"RESU-GESTION";#N/A,#N/A,FALSE,"EVOL-MNA";#N/A,#N/A,FALSE,"VTAS-ANALI";#N/A,#N/A,FALSE,"ANALI-GSFIJOS";#N/A,#N/A,FALSE,"DETA-RUBROS";#N/A,#N/A,FALSE,"ANALI-CNF";#N/A,#N/A,FALSE,"BILAN";#N/A,#N/A,FALSE,"TAB_FIN";#N/A,#N/A,FALSE,"IND_ECO"}</definedName>
    <definedName name="AAA" hidden="1">{#N/A,#N/A,FALSE,"SYSOC";#N/A,#N/A,FALSE,"RESU-GESTION";#N/A,#N/A,FALSE,"EVOL-MNA";#N/A,#N/A,FALSE,"VTAS-ANALI";#N/A,#N/A,FALSE,"ANALI-GSFIJOS";#N/A,#N/A,FALSE,"DETA-RUBROS";#N/A,#N/A,FALSE,"ANALI-CNF";#N/A,#N/A,FALSE,"BILAN";#N/A,#N/A,FALSE,"TAB_FIN";#N/A,#N/A,FALSE,"IND_ECO"}</definedName>
    <definedName name="AAAA" localSheetId="4" hidden="1">{#N/A,#N/A,FALSE,"SYSOC";#N/A,#N/A,FALSE,"RESU-GESTION";#N/A,#N/A,FALSE,"EVOL-MNA";#N/A,#N/A,FALSE,"VTAS-ANALI";#N/A,#N/A,FALSE,"ANALI-GSFIJOS";#N/A,#N/A,FALSE,"DETA-RUBROS";#N/A,#N/A,FALSE,"ANALI-CNF";#N/A,#N/A,FALSE,"BILAN";#N/A,#N/A,FALSE,"TAB_FIN";#N/A,#N/A,FALSE,"IND_ECO"}</definedName>
    <definedName name="AAAA" localSheetId="1" hidden="1">{#N/A,#N/A,FALSE,"SYSOC";#N/A,#N/A,FALSE,"RESU-GESTION";#N/A,#N/A,FALSE,"EVOL-MNA";#N/A,#N/A,FALSE,"VTAS-ANALI";#N/A,#N/A,FALSE,"ANALI-GSFIJOS";#N/A,#N/A,FALSE,"DETA-RUBROS";#N/A,#N/A,FALSE,"ANALI-CNF";#N/A,#N/A,FALSE,"BILAN";#N/A,#N/A,FALSE,"TAB_FIN";#N/A,#N/A,FALSE,"IND_ECO"}</definedName>
    <definedName name="AAAA" localSheetId="2" hidden="1">{#N/A,#N/A,FALSE,"SYSOC";#N/A,#N/A,FALSE,"RESU-GESTION";#N/A,#N/A,FALSE,"EVOL-MNA";#N/A,#N/A,FALSE,"VTAS-ANALI";#N/A,#N/A,FALSE,"ANALI-GSFIJOS";#N/A,#N/A,FALSE,"DETA-RUBROS";#N/A,#N/A,FALSE,"ANALI-CNF";#N/A,#N/A,FALSE,"BILAN";#N/A,#N/A,FALSE,"TAB_FIN";#N/A,#N/A,FALSE,"IND_ECO"}</definedName>
    <definedName name="AAAA" localSheetId="0" hidden="1">{#N/A,#N/A,FALSE,"SYSOC";#N/A,#N/A,FALSE,"RESU-GESTION";#N/A,#N/A,FALSE,"EVOL-MNA";#N/A,#N/A,FALSE,"VTAS-ANALI";#N/A,#N/A,FALSE,"ANALI-GSFIJOS";#N/A,#N/A,FALSE,"DETA-RUBROS";#N/A,#N/A,FALSE,"ANALI-CNF";#N/A,#N/A,FALSE,"BILAN";#N/A,#N/A,FALSE,"TAB_FIN";#N/A,#N/A,FALSE,"IND_ECO"}</definedName>
    <definedName name="AAAA" localSheetId="11" hidden="1">{#N/A,#N/A,FALSE,"SYSOC";#N/A,#N/A,FALSE,"RESU-GESTION";#N/A,#N/A,FALSE,"EVOL-MNA";#N/A,#N/A,FALSE,"VTAS-ANALI";#N/A,#N/A,FALSE,"ANALI-GSFIJOS";#N/A,#N/A,FALSE,"DETA-RUBROS";#N/A,#N/A,FALSE,"ANALI-CNF";#N/A,#N/A,FALSE,"BILAN";#N/A,#N/A,FALSE,"TAB_FIN";#N/A,#N/A,FALSE,"IND_ECO"}</definedName>
    <definedName name="AAAA" localSheetId="10" hidden="1">{#N/A,#N/A,FALSE,"SYSOC";#N/A,#N/A,FALSE,"RESU-GESTION";#N/A,#N/A,FALSE,"EVOL-MNA";#N/A,#N/A,FALSE,"VTAS-ANALI";#N/A,#N/A,FALSE,"ANALI-GSFIJOS";#N/A,#N/A,FALSE,"DETA-RUBROS";#N/A,#N/A,FALSE,"ANALI-CNF";#N/A,#N/A,FALSE,"BILAN";#N/A,#N/A,FALSE,"TAB_FIN";#N/A,#N/A,FALSE,"IND_ECO"}</definedName>
    <definedName name="AAAA" localSheetId="15" hidden="1">{#N/A,#N/A,FALSE,"SYSOC";#N/A,#N/A,FALSE,"RESU-GESTION";#N/A,#N/A,FALSE,"EVOL-MNA";#N/A,#N/A,FALSE,"VTAS-ANALI";#N/A,#N/A,FALSE,"ANALI-GSFIJOS";#N/A,#N/A,FALSE,"DETA-RUBROS";#N/A,#N/A,FALSE,"ANALI-CNF";#N/A,#N/A,FALSE,"BILAN";#N/A,#N/A,FALSE,"TAB_FIN";#N/A,#N/A,FALSE,"IND_ECO"}</definedName>
    <definedName name="AAAA" hidden="1">{#N/A,#N/A,FALSE,"SYSOC";#N/A,#N/A,FALSE,"RESU-GESTION";#N/A,#N/A,FALSE,"EVOL-MNA";#N/A,#N/A,FALSE,"VTAS-ANALI";#N/A,#N/A,FALSE,"ANALI-GSFIJOS";#N/A,#N/A,FALSE,"DETA-RUBROS";#N/A,#N/A,FALSE,"ANALI-CNF";#N/A,#N/A,FALSE,"BILAN";#N/A,#N/A,FALSE,"TAB_FIN";#N/A,#N/A,FALSE,"IND_ECO"}</definedName>
    <definedName name="ADM.SRG">#REF!</definedName>
    <definedName name="ANEXO" localSheetId="1" hidden="1">{#N/A,#N/A,FALSE,"SYSOC";#N/A,#N/A,FALSE,"RESU-GESTION";#N/A,#N/A,FALSE,"EVOL-MNA";#N/A,#N/A,FALSE,"VTAS-ANALI";#N/A,#N/A,FALSE,"ANALI-GSFIJOS";#N/A,#N/A,FALSE,"DETA-RUBROS";#N/A,#N/A,FALSE,"ANALI-CNF";#N/A,#N/A,FALSE,"BILAN";#N/A,#N/A,FALSE,"TAB_FIN";#N/A,#N/A,FALSE,"IND_ECO"}</definedName>
    <definedName name="ANEXO" hidden="1">{#N/A,#N/A,FALSE,"SYSOC";#N/A,#N/A,FALSE,"RESU-GESTION";#N/A,#N/A,FALSE,"EVOL-MNA";#N/A,#N/A,FALSE,"VTAS-ANALI";#N/A,#N/A,FALSE,"ANALI-GSFIJOS";#N/A,#N/A,FALSE,"DETA-RUBROS";#N/A,#N/A,FALSE,"ANALI-CNF";#N/A,#N/A,FALSE,"BILAN";#N/A,#N/A,FALSE,"TAB_FIN";#N/A,#N/A,FALSE,"IND_ECO"}</definedName>
    <definedName name="anscount" hidden="1">1</definedName>
    <definedName name="_xlnm.Print_Area" localSheetId="5">'COLETA RURAL'!$A$1:$K$41</definedName>
    <definedName name="_xlnm.Print_Area" localSheetId="4">'COLETA URBANA'!$A$1:$K$62</definedName>
    <definedName name="_xlnm.Print_Area" localSheetId="8">'CRONOGRAMA DE COLETA'!$A$1:$N$41</definedName>
    <definedName name="_xlnm.Print_Area" localSheetId="1">'ENCARGOS '!$A$1:$B$43</definedName>
    <definedName name="_xlnm.Print_Area" localSheetId="2">EPI!$A$1:$G$27</definedName>
    <definedName name="_xlnm.Print_Area" localSheetId="0">'INF. BÁSICAS'!$A$1:$E$16</definedName>
    <definedName name="_xlnm.Print_Area" localSheetId="13">'M.O. ADM LOCAL'!$A$1:$G$66</definedName>
    <definedName name="_xlnm.Print_Area" localSheetId="9">'M.O. COLETA'!$A$1:$G$122</definedName>
    <definedName name="_xlnm.Print_Area" localSheetId="11">'RESUMO COLETA RURAL'!$A$1:$G$6</definedName>
    <definedName name="_xlnm.Print_Area" localSheetId="10">'RESUMO COLETA URB'!$A$1:$G$6</definedName>
    <definedName name="_xlnm.Print_Area" localSheetId="15">'RESUMO GLOBAL'!$A$1:$G$11</definedName>
    <definedName name="_xlnm.Print_Area" localSheetId="12">'VEÍCULO UTILITÁRIO - PICKUP'!$A$1:$H$43</definedName>
    <definedName name="BBB" localSheetId="4" hidden="1">{#N/A,#N/A,FALSE,"SYSOC";#N/A,#N/A,FALSE,"RESU-GESTION";#N/A,#N/A,FALSE,"EVOL-MNA";#N/A,#N/A,FALSE,"VTAS-ANALI";#N/A,#N/A,FALSE,"ANALI-GSFIJOS";#N/A,#N/A,FALSE,"DETA-RUBROS";#N/A,#N/A,FALSE,"ANALI-CNF";#N/A,#N/A,FALSE,"BILAN";#N/A,#N/A,FALSE,"TAB_FIN";#N/A,#N/A,FALSE,"IND_ECO"}</definedName>
    <definedName name="BBB" localSheetId="1" hidden="1">{#N/A,#N/A,FALSE,"SYSOC";#N/A,#N/A,FALSE,"RESU-GESTION";#N/A,#N/A,FALSE,"EVOL-MNA";#N/A,#N/A,FALSE,"VTAS-ANALI";#N/A,#N/A,FALSE,"ANALI-GSFIJOS";#N/A,#N/A,FALSE,"DETA-RUBROS";#N/A,#N/A,FALSE,"ANALI-CNF";#N/A,#N/A,FALSE,"BILAN";#N/A,#N/A,FALSE,"TAB_FIN";#N/A,#N/A,FALSE,"IND_ECO"}</definedName>
    <definedName name="BBB" localSheetId="2" hidden="1">{#N/A,#N/A,FALSE,"SYSOC";#N/A,#N/A,FALSE,"RESU-GESTION";#N/A,#N/A,FALSE,"EVOL-MNA";#N/A,#N/A,FALSE,"VTAS-ANALI";#N/A,#N/A,FALSE,"ANALI-GSFIJOS";#N/A,#N/A,FALSE,"DETA-RUBROS";#N/A,#N/A,FALSE,"ANALI-CNF";#N/A,#N/A,FALSE,"BILAN";#N/A,#N/A,FALSE,"TAB_FIN";#N/A,#N/A,FALSE,"IND_ECO"}</definedName>
    <definedName name="BBB" localSheetId="0" hidden="1">{#N/A,#N/A,FALSE,"SYSOC";#N/A,#N/A,FALSE,"RESU-GESTION";#N/A,#N/A,FALSE,"EVOL-MNA";#N/A,#N/A,FALSE,"VTAS-ANALI";#N/A,#N/A,FALSE,"ANALI-GSFIJOS";#N/A,#N/A,FALSE,"DETA-RUBROS";#N/A,#N/A,FALSE,"ANALI-CNF";#N/A,#N/A,FALSE,"BILAN";#N/A,#N/A,FALSE,"TAB_FIN";#N/A,#N/A,FALSE,"IND_ECO"}</definedName>
    <definedName name="BBB" localSheetId="11" hidden="1">{#N/A,#N/A,FALSE,"SYSOC";#N/A,#N/A,FALSE,"RESU-GESTION";#N/A,#N/A,FALSE,"EVOL-MNA";#N/A,#N/A,FALSE,"VTAS-ANALI";#N/A,#N/A,FALSE,"ANALI-GSFIJOS";#N/A,#N/A,FALSE,"DETA-RUBROS";#N/A,#N/A,FALSE,"ANALI-CNF";#N/A,#N/A,FALSE,"BILAN";#N/A,#N/A,FALSE,"TAB_FIN";#N/A,#N/A,FALSE,"IND_ECO"}</definedName>
    <definedName name="BBB" localSheetId="10" hidden="1">{#N/A,#N/A,FALSE,"SYSOC";#N/A,#N/A,FALSE,"RESU-GESTION";#N/A,#N/A,FALSE,"EVOL-MNA";#N/A,#N/A,FALSE,"VTAS-ANALI";#N/A,#N/A,FALSE,"ANALI-GSFIJOS";#N/A,#N/A,FALSE,"DETA-RUBROS";#N/A,#N/A,FALSE,"ANALI-CNF";#N/A,#N/A,FALSE,"BILAN";#N/A,#N/A,FALSE,"TAB_FIN";#N/A,#N/A,FALSE,"IND_ECO"}</definedName>
    <definedName name="BBB" localSheetId="15" hidden="1">{#N/A,#N/A,FALSE,"SYSOC";#N/A,#N/A,FALSE,"RESU-GESTION";#N/A,#N/A,FALSE,"EVOL-MNA";#N/A,#N/A,FALSE,"VTAS-ANALI";#N/A,#N/A,FALSE,"ANALI-GSFIJOS";#N/A,#N/A,FALSE,"DETA-RUBROS";#N/A,#N/A,FALSE,"ANALI-CNF";#N/A,#N/A,FALSE,"BILAN";#N/A,#N/A,FALSE,"TAB_FIN";#N/A,#N/A,FALSE,"IND_ECO"}</definedName>
    <definedName name="BBB" hidden="1">{#N/A,#N/A,FALSE,"SYSOC";#N/A,#N/A,FALSE,"RESU-GESTION";#N/A,#N/A,FALSE,"EVOL-MNA";#N/A,#N/A,FALSE,"VTAS-ANALI";#N/A,#N/A,FALSE,"ANALI-GSFIJOS";#N/A,#N/A,FALSE,"DETA-RUBROS";#N/A,#N/A,FALSE,"ANALI-CNF";#N/A,#N/A,FALSE,"BILAN";#N/A,#N/A,FALSE,"TAB_FIN";#N/A,#N/A,FALSE,"IND_ECO"}</definedName>
    <definedName name="bdi">#REF!</definedName>
    <definedName name="BDI_LUCRO_ZERO">#REF!</definedName>
    <definedName name="Bloco" localSheetId="4" hidden="1">#REF!</definedName>
    <definedName name="Bloco" localSheetId="1" hidden="1">#REF!</definedName>
    <definedName name="Bloco" localSheetId="2" hidden="1">#REF!</definedName>
    <definedName name="Bloco" localSheetId="0" hidden="1">#REF!</definedName>
    <definedName name="Bloco" localSheetId="11" hidden="1">#REF!</definedName>
    <definedName name="Bloco" localSheetId="10" hidden="1">#REF!</definedName>
    <definedName name="Bloco" localSheetId="15" hidden="1">#REF!</definedName>
    <definedName name="Bloco" hidden="1">#REF!</definedName>
    <definedName name="Bloco2" localSheetId="1" hidden="1">#REF!</definedName>
    <definedName name="Bloco2" localSheetId="2" hidden="1">#REF!</definedName>
    <definedName name="Bloco2" localSheetId="15" hidden="1">#REF!</definedName>
    <definedName name="Bloco2" hidden="1">#REF!</definedName>
    <definedName name="CadIns" localSheetId="1" hidden="1">#REF!</definedName>
    <definedName name="CadIns" localSheetId="2" hidden="1">#REF!</definedName>
    <definedName name="CadIns" localSheetId="15" hidden="1">#REF!</definedName>
    <definedName name="CadIns" hidden="1">#REF!</definedName>
    <definedName name="CadSrv" localSheetId="2" hidden="1">#REF!</definedName>
    <definedName name="CadSrv" localSheetId="15" hidden="1">#REF!</definedName>
    <definedName name="CadSrv" hidden="1">#REF!</definedName>
    <definedName name="cch" hidden="1">#N/A</definedName>
    <definedName name="CdQtEqA" hidden="1">2</definedName>
    <definedName name="CdQtEqP" hidden="1">2</definedName>
    <definedName name="CdQtMoA" hidden="1">2</definedName>
    <definedName name="CdQtMoP" hidden="1">2</definedName>
    <definedName name="CdQtMpA" hidden="1">5</definedName>
    <definedName name="CdQtMpP" hidden="1">5</definedName>
    <definedName name="CdQtTrA" hidden="1">2</definedName>
    <definedName name="CdQtTrP" hidden="1">2</definedName>
    <definedName name="cenário2">#REF!</definedName>
    <definedName name="Chave" localSheetId="4" hidden="1">#REF!</definedName>
    <definedName name="Chave" localSheetId="1" hidden="1">#REF!</definedName>
    <definedName name="Chave" localSheetId="2" hidden="1">#REF!</definedName>
    <definedName name="Chave" localSheetId="0" hidden="1">#REF!</definedName>
    <definedName name="Chave" localSheetId="11" hidden="1">#REF!</definedName>
    <definedName name="Chave" localSheetId="10" hidden="1">#REF!</definedName>
    <definedName name="Chave" localSheetId="15" hidden="1">#REF!</definedName>
    <definedName name="Chave" hidden="1">#REF!</definedName>
    <definedName name="Chave1" localSheetId="1" hidden="1">#REF!</definedName>
    <definedName name="Chave1" localSheetId="2" hidden="1">#REF!</definedName>
    <definedName name="Chave1" localSheetId="15" hidden="1">#REF!</definedName>
    <definedName name="Chave1" hidden="1">#REF!</definedName>
    <definedName name="Clas" localSheetId="1" hidden="1">MAX(LEN(#REF!))</definedName>
    <definedName name="Clas" localSheetId="2" hidden="1">MAX(LEN(#REF!))</definedName>
    <definedName name="Clas" localSheetId="15" hidden="1">MAX(LEN(#REF!))</definedName>
    <definedName name="Clas" hidden="1">MAX(LEN(#REF!))</definedName>
    <definedName name="Cliente" hidden="1">""</definedName>
    <definedName name="Cls" hidden="1">#N/A</definedName>
    <definedName name="Cod" localSheetId="4" hidden="1">#REF!</definedName>
    <definedName name="Cod" localSheetId="1" hidden="1">#REF!</definedName>
    <definedName name="Cod" localSheetId="2" hidden="1">#REF!</definedName>
    <definedName name="Cod" localSheetId="0" hidden="1">#REF!</definedName>
    <definedName name="Cod" localSheetId="11" hidden="1">#REF!</definedName>
    <definedName name="Cod" localSheetId="10" hidden="1">#REF!</definedName>
    <definedName name="Cod" localSheetId="15" hidden="1">#REF!</definedName>
    <definedName name="Cod" hidden="1">#REF!</definedName>
    <definedName name="Codigo" localSheetId="1" hidden="1">#REF!</definedName>
    <definedName name="Codigo" localSheetId="2" hidden="1">#REF!</definedName>
    <definedName name="Codigo" localSheetId="15" hidden="1">#REF!</definedName>
    <definedName name="Codigo" hidden="1">#REF!</definedName>
    <definedName name="Coluna" localSheetId="1" hidden="1">#REF!</definedName>
    <definedName name="Coluna" localSheetId="2" hidden="1">#REF!</definedName>
    <definedName name="Coluna" localSheetId="15" hidden="1">#REF!</definedName>
    <definedName name="Coluna" hidden="1">#REF!</definedName>
    <definedName name="Comp" localSheetId="2" hidden="1">#REF!</definedName>
    <definedName name="Comp" localSheetId="15" hidden="1">#REF!</definedName>
    <definedName name="Comp" hidden="1">#REF!</definedName>
    <definedName name="CpuAux" localSheetId="2" hidden="1">#REF!</definedName>
    <definedName name="CpuAux" localSheetId="15" hidden="1">#REF!</definedName>
    <definedName name="CpuAux" hidden="1">#REF!</definedName>
    <definedName name="CPUs" localSheetId="2" hidden="1">#REF!</definedName>
    <definedName name="CPUs" localSheetId="15" hidden="1">#REF!</definedName>
    <definedName name="CPUs" hidden="1">#REF!</definedName>
    <definedName name="CRIT" localSheetId="2" hidden="1">#REF!</definedName>
    <definedName name="CRIT" localSheetId="15" hidden="1">#REF!</definedName>
    <definedName name="CRIT" hidden="1">#REF!</definedName>
    <definedName name="_xlnm.Criteria" localSheetId="2" hidden="1">#REF!</definedName>
    <definedName name="_xlnm.Criteria" localSheetId="15" hidden="1">#REF!</definedName>
    <definedName name="_xlnm.Criteria" hidden="1">#REF!</definedName>
    <definedName name="CunEq" localSheetId="4" hidden="1">SUM(IF(#REF! =#REF!,(#REF!)*(#REF!="EQ")))</definedName>
    <definedName name="CunEq" localSheetId="1" hidden="1">SUM(IF(#REF! =#REF!,(#REF!)*(#REF!="EQ")))</definedName>
    <definedName name="CunEq" localSheetId="2" hidden="1">SUM(IF(#REF! =#REF!,(#REF!)*(#REF!="EQ")))</definedName>
    <definedName name="CunEq" localSheetId="0" hidden="1">SUM(IF(#REF! =#REF!,(#REF!)*(#REF!="EQ")))</definedName>
    <definedName name="CunEq" localSheetId="15" hidden="1">SUM(IF(#REF! =#REF!,(#REF!)*(#REF!="EQ")))</definedName>
    <definedName name="CunEq" hidden="1">SUM(IF(#REF! =#REF!,(#REF!)*(#REF!="EQ")))</definedName>
    <definedName name="CunMo" localSheetId="4" hidden="1">SUM(IF(#REF! =#REF!,(#REF!)*(#REF!="MO")))</definedName>
    <definedName name="CunMo" localSheetId="1" hidden="1">SUM(IF(#REF! =#REF!,(#REF!)*(#REF!="MO")))</definedName>
    <definedName name="CunMo" localSheetId="2" hidden="1">SUM(IF(#REF! =#REF!,(#REF!)*(#REF!="MO")))</definedName>
    <definedName name="CunMo" localSheetId="0" hidden="1">SUM(IF(#REF! =#REF!,(#REF!)*(#REF!="MO")))</definedName>
    <definedName name="CunMo" localSheetId="15" hidden="1">SUM(IF(#REF! =#REF!,(#REF!)*(#REF!="MO")))</definedName>
    <definedName name="CunMo" hidden="1">SUM(IF(#REF! =#REF!,(#REF!)*(#REF!="MO")))</definedName>
    <definedName name="CunMp" localSheetId="4" hidden="1">SUM(IF(#REF! =#REF!,(#REF!)*(#REF!="MP")))</definedName>
    <definedName name="CunMp" localSheetId="1" hidden="1">SUM(IF(#REF! =#REF!,(#REF!)*(#REF!="MP")))</definedName>
    <definedName name="CunMp" localSheetId="2" hidden="1">SUM(IF(#REF! =#REF!,(#REF!)*(#REF!="MP")))</definedName>
    <definedName name="CunMp" localSheetId="0" hidden="1">SUM(IF(#REF! =#REF!,(#REF!)*(#REF!="MP")))</definedName>
    <definedName name="CunMp" localSheetId="15" hidden="1">SUM(IF(#REF! =#REF!,(#REF!)*(#REF!="MP")))</definedName>
    <definedName name="CunMp" hidden="1">SUM(IF(#REF! =#REF!,(#REF!)*(#REF!="MP")))</definedName>
    <definedName name="depre_novo2">#REF!</definedName>
    <definedName name="DescAux" hidden="1">#N/A</definedName>
    <definedName name="DESP.FIN">#REF!</definedName>
    <definedName name="DF">#REF!</definedName>
    <definedName name="dias_mes" localSheetId="1">'[1]INF. BÁSICAS'!$B$6</definedName>
    <definedName name="dias_mes">'INF. BÁSICAS'!$B$6</definedName>
    <definedName name="dias_seg_sex">'INF. BÁSICAS'!$B$9</definedName>
    <definedName name="DIESEL" localSheetId="1">'[1]INF. BÁSICAS'!$B$11</definedName>
    <definedName name="DIESEL">'INF. BÁSICAS'!$B$11</definedName>
    <definedName name="EmpAux" hidden="1">""</definedName>
    <definedName name="encargos" localSheetId="1">'ENCARGOS '!$B$42</definedName>
    <definedName name="encargos">#REF!</definedName>
    <definedName name="EQ" localSheetId="4" hidden="1">#REF!</definedName>
    <definedName name="EQ" localSheetId="1" hidden="1">#REF!</definedName>
    <definedName name="EQ" localSheetId="2" hidden="1">#REF!</definedName>
    <definedName name="EQ" localSheetId="0" hidden="1">#REF!</definedName>
    <definedName name="EQ" localSheetId="11" hidden="1">#REF!</definedName>
    <definedName name="EQ" localSheetId="10" hidden="1">#REF!</definedName>
    <definedName name="EQ" localSheetId="15" hidden="1">#REF!</definedName>
    <definedName name="EQ" hidden="1">#REF!</definedName>
    <definedName name="EQ_2" hidden="1">#REF!</definedName>
    <definedName name="EVOLUTION_DES_ROI" localSheetId="4" hidden="1">{#N/A,#N/A,FALSE,"SYSOC";#N/A,#N/A,FALSE,"RESU-GESTION";#N/A,#N/A,FALSE,"EVOL-MNA";#N/A,#N/A,FALSE,"VTAS-ANALI";#N/A,#N/A,FALSE,"ANALI-GSFIJOS";#N/A,#N/A,FALSE,"DETA-RUBROS";#N/A,#N/A,FALSE,"ANALI-CNF";#N/A,#N/A,FALSE,"BILAN";#N/A,#N/A,FALSE,"TAB_FIN";#N/A,#N/A,FALSE,"IND_ECO"}</definedName>
    <definedName name="EVOLUTION_DES_ROI" localSheetId="1" hidden="1">{#N/A,#N/A,FALSE,"SYSOC";#N/A,#N/A,FALSE,"RESU-GESTION";#N/A,#N/A,FALSE,"EVOL-MNA";#N/A,#N/A,FALSE,"VTAS-ANALI";#N/A,#N/A,FALSE,"ANALI-GSFIJOS";#N/A,#N/A,FALSE,"DETA-RUBROS";#N/A,#N/A,FALSE,"ANALI-CNF";#N/A,#N/A,FALSE,"BILAN";#N/A,#N/A,FALSE,"TAB_FIN";#N/A,#N/A,FALSE,"IND_ECO"}</definedName>
    <definedName name="EVOLUTION_DES_ROI" localSheetId="2" hidden="1">{#N/A,#N/A,FALSE,"SYSOC";#N/A,#N/A,FALSE,"RESU-GESTION";#N/A,#N/A,FALSE,"EVOL-MNA";#N/A,#N/A,FALSE,"VTAS-ANALI";#N/A,#N/A,FALSE,"ANALI-GSFIJOS";#N/A,#N/A,FALSE,"DETA-RUBROS";#N/A,#N/A,FALSE,"ANALI-CNF";#N/A,#N/A,FALSE,"BILAN";#N/A,#N/A,FALSE,"TAB_FIN";#N/A,#N/A,FALSE,"IND_ECO"}</definedName>
    <definedName name="EVOLUTION_DES_ROI" localSheetId="0" hidden="1">{#N/A,#N/A,FALSE,"SYSOC";#N/A,#N/A,FALSE,"RESU-GESTION";#N/A,#N/A,FALSE,"EVOL-MNA";#N/A,#N/A,FALSE,"VTAS-ANALI";#N/A,#N/A,FALSE,"ANALI-GSFIJOS";#N/A,#N/A,FALSE,"DETA-RUBROS";#N/A,#N/A,FALSE,"ANALI-CNF";#N/A,#N/A,FALSE,"BILAN";#N/A,#N/A,FALSE,"TAB_FIN";#N/A,#N/A,FALSE,"IND_ECO"}</definedName>
    <definedName name="EVOLUTION_DES_ROI" localSheetId="11" hidden="1">{#N/A,#N/A,FALSE,"SYSOC";#N/A,#N/A,FALSE,"RESU-GESTION";#N/A,#N/A,FALSE,"EVOL-MNA";#N/A,#N/A,FALSE,"VTAS-ANALI";#N/A,#N/A,FALSE,"ANALI-GSFIJOS";#N/A,#N/A,FALSE,"DETA-RUBROS";#N/A,#N/A,FALSE,"ANALI-CNF";#N/A,#N/A,FALSE,"BILAN";#N/A,#N/A,FALSE,"TAB_FIN";#N/A,#N/A,FALSE,"IND_ECO"}</definedName>
    <definedName name="EVOLUTION_DES_ROI" localSheetId="10" hidden="1">{#N/A,#N/A,FALSE,"SYSOC";#N/A,#N/A,FALSE,"RESU-GESTION";#N/A,#N/A,FALSE,"EVOL-MNA";#N/A,#N/A,FALSE,"VTAS-ANALI";#N/A,#N/A,FALSE,"ANALI-GSFIJOS";#N/A,#N/A,FALSE,"DETA-RUBROS";#N/A,#N/A,FALSE,"ANALI-CNF";#N/A,#N/A,FALSE,"BILAN";#N/A,#N/A,FALSE,"TAB_FIN";#N/A,#N/A,FALSE,"IND_ECO"}</definedName>
    <definedName name="EVOLUTION_DES_ROI" localSheetId="15" hidden="1">{#N/A,#N/A,FALSE,"SYSOC";#N/A,#N/A,FALSE,"RESU-GESTION";#N/A,#N/A,FALSE,"EVOL-MNA";#N/A,#N/A,FALSE,"VTAS-ANALI";#N/A,#N/A,FALSE,"ANALI-GSFIJOS";#N/A,#N/A,FALSE,"DETA-RUBROS";#N/A,#N/A,FALSE,"ANALI-CNF";#N/A,#N/A,FALSE,"BILAN";#N/A,#N/A,FALSE,"TAB_FIN";#N/A,#N/A,FALSE,"IND_ECO"}</definedName>
    <definedName name="EVOLUTION_DES_ROI" hidden="1">{#N/A,#N/A,FALSE,"SYSOC";#N/A,#N/A,FALSE,"RESU-GESTION";#N/A,#N/A,FALSE,"EVOL-MNA";#N/A,#N/A,FALSE,"VTAS-ANALI";#N/A,#N/A,FALSE,"ANALI-GSFIJOS";#N/A,#N/A,FALSE,"DETA-RUBROS";#N/A,#N/A,FALSE,"ANALI-CNF";#N/A,#N/A,FALSE,"BILAN";#N/A,#N/A,FALSE,"TAB_FIN";#N/A,#N/A,FALSE,"IND_ECO"}</definedName>
    <definedName name="GASOLINA" localSheetId="1">'[1]INF. BÁSICAS'!$B$10</definedName>
    <definedName name="GASOLINA">'INF. BÁSICAS'!$B$10</definedName>
    <definedName name="HTML_CodePage" hidden="1">1252</definedName>
    <definedName name="HTML_Control" localSheetId="1" hidden="1">{"'Índice'!$A$1:$K$49"}</definedName>
    <definedName name="HTML_Control" hidden="1">{"'Índice'!$A$1:$K$49"}</definedName>
    <definedName name="HTML_Description" hidden="1">""</definedName>
    <definedName name="HTML_Email" hidden="1">""</definedName>
    <definedName name="HTML_Header" hidden="1">"Índice"</definedName>
    <definedName name="HTML_LastUpdate" hidden="1">"12/08/1999"</definedName>
    <definedName name="HTML_LineAfter" hidden="1">FALSE</definedName>
    <definedName name="HTML_LineBefore" hidden="1">FALSE</definedName>
    <definedName name="HTML_Name" hidden="1">"Rodovia das Cataratas"</definedName>
    <definedName name="HTML_OBDlg2" hidden="1">TRUE</definedName>
    <definedName name="HTML_OBDlg4" hidden="1">TRUE</definedName>
    <definedName name="HTML_OS" hidden="1">0</definedName>
    <definedName name="HTML_PathFile" hidden="1">"\\Server_1\sig\07 Julho\Informe\MeuHTML.htm"</definedName>
    <definedName name="HTML_Title" hidden="1">"Gerência de Administração e Controle de Gestão"</definedName>
    <definedName name="iiii" localSheetId="4" hidden="1">{#N/A,#N/A,FALSE,"MATERIAIS"}</definedName>
    <definedName name="iiii" localSheetId="1" hidden="1">{#N/A,#N/A,FALSE,"MATERIAIS"}</definedName>
    <definedName name="iiii" localSheetId="2" hidden="1">{#N/A,#N/A,FALSE,"MATERIAIS"}</definedName>
    <definedName name="iiii" localSheetId="0" hidden="1">{#N/A,#N/A,FALSE,"MATERIAIS"}</definedName>
    <definedName name="iiii" localSheetId="11" hidden="1">{#N/A,#N/A,FALSE,"MATERIAIS"}</definedName>
    <definedName name="iiii" localSheetId="10" hidden="1">{#N/A,#N/A,FALSE,"MATERIAIS"}</definedName>
    <definedName name="iiii" localSheetId="15" hidden="1">{#N/A,#N/A,FALSE,"MATERIAIS"}</definedName>
    <definedName name="iiii" hidden="1">{#N/A,#N/A,FALSE,"MATERIAIS"}</definedName>
    <definedName name="IMPOSTOS">#REF!</definedName>
    <definedName name="Insumos" localSheetId="4" hidden="1">#REF!</definedName>
    <definedName name="Insumos" localSheetId="1" hidden="1">#REF!</definedName>
    <definedName name="Insumos" localSheetId="2" hidden="1">#REF!</definedName>
    <definedName name="Insumos" localSheetId="0" hidden="1">#REF!</definedName>
    <definedName name="Insumos" localSheetId="11" hidden="1">#REF!</definedName>
    <definedName name="Insumos" localSheetId="10" hidden="1">#REF!</definedName>
    <definedName name="Insumos" localSheetId="15" hidden="1">#REF!</definedName>
    <definedName name="Insumos" hidden="1">#REF!</definedName>
    <definedName name="Itens" localSheetId="1" hidden="1">#REF!</definedName>
    <definedName name="Itens" localSheetId="2" hidden="1">#REF!</definedName>
    <definedName name="Itens" localSheetId="15" hidden="1">#REF!</definedName>
    <definedName name="Itens" hidden="1">#REF!</definedName>
    <definedName name="juro">#REF!</definedName>
    <definedName name="km_vias">#REF!</definedName>
    <definedName name="Kmanut2">#REF!</definedName>
    <definedName name="Local" hidden="1">""</definedName>
    <definedName name="lucro">#REF!</definedName>
    <definedName name="MAT" localSheetId="4" hidden="1">{#N/A,#N/A,FALSE,"MATERIAIS"}</definedName>
    <definedName name="MAT" localSheetId="1" hidden="1">{#N/A,#N/A,FALSE,"MATERIAIS"}</definedName>
    <definedName name="MAT" localSheetId="2" hidden="1">{#N/A,#N/A,FALSE,"MATERIAIS"}</definedName>
    <definedName name="MAT" localSheetId="0" hidden="1">{#N/A,#N/A,FALSE,"MATERIAIS"}</definedName>
    <definedName name="MAT" localSheetId="11" hidden="1">{#N/A,#N/A,FALSE,"MATERIAIS"}</definedName>
    <definedName name="MAT" localSheetId="10" hidden="1">{#N/A,#N/A,FALSE,"MATERIAIS"}</definedName>
    <definedName name="MAT" localSheetId="15" hidden="1">{#N/A,#N/A,FALSE,"MATERIAIS"}</definedName>
    <definedName name="MAT" hidden="1">{#N/A,#N/A,FALSE,"MATERIAIS"}</definedName>
    <definedName name="Max" hidden="1">COUNTIF(#REF!,"&lt;&gt;0")+3</definedName>
    <definedName name="Máximo" localSheetId="1" hidden="1">{"'Índice'!$A$1:$K$49"}</definedName>
    <definedName name="Máximo" hidden="1">{"'Índice'!$A$1:$K$49"}</definedName>
    <definedName name="MO" localSheetId="4" hidden="1">#REF!</definedName>
    <definedName name="MO" localSheetId="1" hidden="1">#REF!</definedName>
    <definedName name="MO" localSheetId="2" hidden="1">#REF!</definedName>
    <definedName name="MO" localSheetId="0" hidden="1">#REF!</definedName>
    <definedName name="MO" localSheetId="11" hidden="1">#REF!</definedName>
    <definedName name="MO" localSheetId="10" hidden="1">#REF!</definedName>
    <definedName name="MO" localSheetId="15" hidden="1">#REF!</definedName>
    <definedName name="MO" hidden="1">#REF!</definedName>
    <definedName name="Modelo" localSheetId="1" hidden="1">#REF!</definedName>
    <definedName name="Modelo" localSheetId="2" hidden="1">#REF!</definedName>
    <definedName name="Modelo" localSheetId="15" hidden="1">#REF!</definedName>
    <definedName name="Modelo" hidden="1">#REF!</definedName>
    <definedName name="MP" localSheetId="2" hidden="1">#REF!</definedName>
    <definedName name="MP" localSheetId="15" hidden="1">#REF!</definedName>
    <definedName name="MP" hidden="1">#REF!</definedName>
    <definedName name="NLEq" hidden="1">4</definedName>
    <definedName name="NLMo" hidden="1">6</definedName>
    <definedName name="NLMp" hidden="1">5</definedName>
    <definedName name="NLTr" hidden="1">3</definedName>
    <definedName name="Obra" hidden="1">""</definedName>
    <definedName name="OnOff" hidden="1">"ON"</definedName>
    <definedName name="Ordem" localSheetId="4" hidden="1">#REF!</definedName>
    <definedName name="Ordem" localSheetId="1" hidden="1">#REF!</definedName>
    <definedName name="Ordem" localSheetId="2" hidden="1">#REF!</definedName>
    <definedName name="Ordem" localSheetId="0" hidden="1">#REF!</definedName>
    <definedName name="Ordem" localSheetId="11" hidden="1">#REF!</definedName>
    <definedName name="Ordem" localSheetId="10" hidden="1">#REF!</definedName>
    <definedName name="Ordem" localSheetId="15" hidden="1">#REF!</definedName>
    <definedName name="Ordem" hidden="1">#REF!</definedName>
    <definedName name="Origem" localSheetId="1" hidden="1">#REF!</definedName>
    <definedName name="Origem" localSheetId="2" hidden="1">#REF!</definedName>
    <definedName name="Origem" localSheetId="15" hidden="1">#REF!</definedName>
    <definedName name="Origem" hidden="1">#REF!</definedName>
    <definedName name="plan" localSheetId="4" hidden="1">{#N/A,#N/A,FALSE,"EQUIPAMENTOS"}</definedName>
    <definedName name="plan" localSheetId="1" hidden="1">{#N/A,#N/A,FALSE,"EQUIPAMENTOS"}</definedName>
    <definedName name="plan" localSheetId="2" hidden="1">{#N/A,#N/A,FALSE,"EQUIPAMENTOS"}</definedName>
    <definedName name="plan" localSheetId="0" hidden="1">{#N/A,#N/A,FALSE,"EQUIPAMENTOS"}</definedName>
    <definedName name="plan" localSheetId="11" hidden="1">{#N/A,#N/A,FALSE,"EQUIPAMENTOS"}</definedName>
    <definedName name="plan" localSheetId="10" hidden="1">{#N/A,#N/A,FALSE,"EQUIPAMENTOS"}</definedName>
    <definedName name="plan" localSheetId="15" hidden="1">{#N/A,#N/A,FALSE,"EQUIPAMENTOS"}</definedName>
    <definedName name="plan" hidden="1">{#N/A,#N/A,FALSE,"EQUIPAMENTOS"}</definedName>
    <definedName name="Plan1" localSheetId="4" hidden="1">#REF!</definedName>
    <definedName name="Plan1" localSheetId="1" hidden="1">#REF!</definedName>
    <definedName name="Plan1" localSheetId="2" hidden="1">#REF!</definedName>
    <definedName name="Plan1" localSheetId="0" hidden="1">#REF!</definedName>
    <definedName name="Plan1" localSheetId="11" hidden="1">#REF!</definedName>
    <definedName name="Plan1" localSheetId="10" hidden="1">#REF!</definedName>
    <definedName name="Plan1" localSheetId="15" hidden="1">#REF!</definedName>
    <definedName name="Plan1" hidden="1">#REF!</definedName>
    <definedName name="Posição" localSheetId="1" hidden="1">#REF!</definedName>
    <definedName name="Posição" localSheetId="2" hidden="1">#REF!</definedName>
    <definedName name="Posição" localSheetId="15" hidden="1">#REF!</definedName>
    <definedName name="Posição" hidden="1">#REF!</definedName>
    <definedName name="Prd" hidden="1">#N/A</definedName>
    <definedName name="PrdAux" hidden="1">#N/A</definedName>
    <definedName name="produtividade">#REF!</definedName>
    <definedName name="QD" localSheetId="4" hidden="1">#REF!</definedName>
    <definedName name="QD" localSheetId="1" hidden="1">#REF!</definedName>
    <definedName name="QD" localSheetId="2" hidden="1">#REF!</definedName>
    <definedName name="QD" localSheetId="0" hidden="1">#REF!</definedName>
    <definedName name="QD" localSheetId="11" hidden="1">#REF!</definedName>
    <definedName name="QD" localSheetId="10" hidden="1">#REF!</definedName>
    <definedName name="QD" localSheetId="15" hidden="1">#REF!</definedName>
    <definedName name="QD" hidden="1">#REF!</definedName>
    <definedName name="QTD" localSheetId="1" hidden="1">#REF!</definedName>
    <definedName name="QTD" localSheetId="2" hidden="1">#REF!</definedName>
    <definedName name="QTD" localSheetId="15" hidden="1">#REF!</definedName>
    <definedName name="QTD" hidden="1">#REF!</definedName>
    <definedName name="QtEq" localSheetId="1" hidden="1">#REF!</definedName>
    <definedName name="QtEq" localSheetId="2" hidden="1">#REF!</definedName>
    <definedName name="QtEq" localSheetId="15" hidden="1">#REF!</definedName>
    <definedName name="QtEq" hidden="1">#REF!</definedName>
    <definedName name="QtMo" localSheetId="2" hidden="1">#REF!</definedName>
    <definedName name="QtMo" localSheetId="15" hidden="1">#REF!</definedName>
    <definedName name="QtMo" hidden="1">#REF!</definedName>
    <definedName name="QtMp" localSheetId="2" hidden="1">#REF!</definedName>
    <definedName name="QtMp" localSheetId="15" hidden="1">#REF!</definedName>
    <definedName name="QtMp" hidden="1">#REF!</definedName>
    <definedName name="QtTr" localSheetId="2" hidden="1">#REF!</definedName>
    <definedName name="QtTr" localSheetId="15" hidden="1">#REF!</definedName>
    <definedName name="QtTr" hidden="1">#REF!</definedName>
    <definedName name="REAJUSTE" localSheetId="1">'[1]INF. BÁSICAS'!#REF!</definedName>
    <definedName name="REAJUSTE">'INF. BÁSICAS'!#REF!</definedName>
    <definedName name="Relat" localSheetId="2" hidden="1">#REF!</definedName>
    <definedName name="Relat" localSheetId="15" hidden="1">#REF!</definedName>
    <definedName name="Relat" hidden="1">#REF!</definedName>
    <definedName name="RRR" localSheetId="1" hidden="1">{#N/A,#N/A,FALSE,"SYSOC";#N/A,#N/A,FALSE,"RESU-GESTION";#N/A,#N/A,FALSE,"EVOL-MNA";#N/A,#N/A,FALSE,"VTAS-ANALI";#N/A,#N/A,FALSE,"ANALI-GSFIJOS";#N/A,#N/A,FALSE,"DETA-RUBROS";#N/A,#N/A,FALSE,"ANALI-CNF";#N/A,#N/A,FALSE,"BILAN";#N/A,#N/A,FALSE,"TAB_FIN";#N/A,#N/A,FALSE,"IND_ECO"}</definedName>
    <definedName name="RRR" hidden="1">{#N/A,#N/A,FALSE,"SYSOC";#N/A,#N/A,FALSE,"RESU-GESTION";#N/A,#N/A,FALSE,"EVOL-MNA";#N/A,#N/A,FALSE,"VTAS-ANALI";#N/A,#N/A,FALSE,"ANALI-GSFIJOS";#N/A,#N/A,FALSE,"DETA-RUBROS";#N/A,#N/A,FALSE,"ANALI-CNF";#N/A,#N/A,FALSE,"BILAN";#N/A,#N/A,FALSE,"TAB_FIN";#N/A,#N/A,FALSE,"IND_ECO"}</definedName>
    <definedName name="SE" localSheetId="4" hidden="1">#REF!</definedName>
    <definedName name="SE" localSheetId="2" hidden="1">#REF!</definedName>
    <definedName name="SE" localSheetId="0" hidden="1">#REF!</definedName>
    <definedName name="SE" localSheetId="11" hidden="1">#REF!</definedName>
    <definedName name="SE" localSheetId="10" hidden="1">#REF!</definedName>
    <definedName name="SE" localSheetId="15" hidden="1">#REF!</definedName>
    <definedName name="SE" hidden="1">#REF!</definedName>
    <definedName name="SELIC" localSheetId="1">'[1]INF. BÁSICAS'!$B$14</definedName>
    <definedName name="SELIC">'INF. BÁSICAS'!$B$14</definedName>
    <definedName name="semanas_mês" localSheetId="1">'[1]COLETA URBANA'!$C$4</definedName>
    <definedName name="semanas_mês">'COLETA URBANA'!$C$4</definedName>
    <definedName name="sencount" hidden="1">1</definedName>
    <definedName name="solve" localSheetId="4" hidden="1">#REF!</definedName>
    <definedName name="solve" localSheetId="2" hidden="1">#REF!</definedName>
    <definedName name="solve" localSheetId="0" hidden="1">#REF!</definedName>
    <definedName name="solve" localSheetId="11" hidden="1">#REF!</definedName>
    <definedName name="solve" localSheetId="10" hidden="1">#REF!</definedName>
    <definedName name="solve" localSheetId="15" hidden="1">#REF!</definedName>
    <definedName name="solve" hidden="1">#REF!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opt" localSheetId="4" hidden="1">#REF!</definedName>
    <definedName name="solver_opt" localSheetId="1" hidden="1">#REF!</definedName>
    <definedName name="solver_opt" localSheetId="2" hidden="1">#REF!</definedName>
    <definedName name="solver_opt" localSheetId="0" hidden="1">#REF!</definedName>
    <definedName name="solver_opt" localSheetId="11" hidden="1">#REF!</definedName>
    <definedName name="solver_opt" localSheetId="10" hidden="1">#REF!</definedName>
    <definedName name="solver_opt" localSheetId="15" hidden="1">#REF!</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mp" localSheetId="1" hidden="1">#REF!</definedName>
    <definedName name="solver_tmp" localSheetId="2" hidden="1">#REF!</definedName>
    <definedName name="solver_tmp" localSheetId="15" hidden="1">#REF!</definedName>
    <definedName name="solver_tmp" hidden="1">#REF!</definedName>
    <definedName name="solver_tol" hidden="1">0.05</definedName>
    <definedName name="solver_typ" hidden="1">1</definedName>
    <definedName name="solver_val" hidden="1">0</definedName>
    <definedName name="SRV" localSheetId="4" hidden="1">#REF!</definedName>
    <definedName name="SRV" localSheetId="1" hidden="1">#REF!</definedName>
    <definedName name="SRV" localSheetId="2" hidden="1">#REF!</definedName>
    <definedName name="SRV" localSheetId="0" hidden="1">#REF!</definedName>
    <definedName name="SRV" localSheetId="11" hidden="1">#REF!</definedName>
    <definedName name="SRV" localSheetId="10" hidden="1">#REF!</definedName>
    <definedName name="SRV" localSheetId="15" hidden="1">#REF!</definedName>
    <definedName name="SRV" hidden="1">#REF!</definedName>
    <definedName name="TOT" localSheetId="1" hidden="1">#REF!</definedName>
    <definedName name="TOT" localSheetId="2" hidden="1">#REF!</definedName>
    <definedName name="TOT" localSheetId="15" hidden="1">#REF!</definedName>
    <definedName name="TOT" hidden="1">#REF!</definedName>
    <definedName name="TOTAL">#REF!</definedName>
    <definedName name="Toto" localSheetId="4" hidden="1">{#N/A,#N/A,FALSE,"SYSOC";#N/A,#N/A,FALSE,"RESU-GESTION";#N/A,#N/A,FALSE,"EVOL-MNA";#N/A,#N/A,FALSE,"VTAS-ANALI";#N/A,#N/A,FALSE,"ANALI-GSFIJOS";#N/A,#N/A,FALSE,"DETA-RUBROS";#N/A,#N/A,FALSE,"ANALI-CNF";#N/A,#N/A,FALSE,"BILAN";#N/A,#N/A,FALSE,"TAB_FIN";#N/A,#N/A,FALSE,"IND_ECO"}</definedName>
    <definedName name="Toto" localSheetId="1" hidden="1">{#N/A,#N/A,FALSE,"SYSOC";#N/A,#N/A,FALSE,"RESU-GESTION";#N/A,#N/A,FALSE,"EVOL-MNA";#N/A,#N/A,FALSE,"VTAS-ANALI";#N/A,#N/A,FALSE,"ANALI-GSFIJOS";#N/A,#N/A,FALSE,"DETA-RUBROS";#N/A,#N/A,FALSE,"ANALI-CNF";#N/A,#N/A,FALSE,"BILAN";#N/A,#N/A,FALSE,"TAB_FIN";#N/A,#N/A,FALSE,"IND_ECO"}</definedName>
    <definedName name="Toto" localSheetId="2" hidden="1">{#N/A,#N/A,FALSE,"SYSOC";#N/A,#N/A,FALSE,"RESU-GESTION";#N/A,#N/A,FALSE,"EVOL-MNA";#N/A,#N/A,FALSE,"VTAS-ANALI";#N/A,#N/A,FALSE,"ANALI-GSFIJOS";#N/A,#N/A,FALSE,"DETA-RUBROS";#N/A,#N/A,FALSE,"ANALI-CNF";#N/A,#N/A,FALSE,"BILAN";#N/A,#N/A,FALSE,"TAB_FIN";#N/A,#N/A,FALSE,"IND_ECO"}</definedName>
    <definedName name="Toto" localSheetId="0" hidden="1">{#N/A,#N/A,FALSE,"SYSOC";#N/A,#N/A,FALSE,"RESU-GESTION";#N/A,#N/A,FALSE,"EVOL-MNA";#N/A,#N/A,FALSE,"VTAS-ANALI";#N/A,#N/A,FALSE,"ANALI-GSFIJOS";#N/A,#N/A,FALSE,"DETA-RUBROS";#N/A,#N/A,FALSE,"ANALI-CNF";#N/A,#N/A,FALSE,"BILAN";#N/A,#N/A,FALSE,"TAB_FIN";#N/A,#N/A,FALSE,"IND_ECO"}</definedName>
    <definedName name="Toto" localSheetId="11" hidden="1">{#N/A,#N/A,FALSE,"SYSOC";#N/A,#N/A,FALSE,"RESU-GESTION";#N/A,#N/A,FALSE,"EVOL-MNA";#N/A,#N/A,FALSE,"VTAS-ANALI";#N/A,#N/A,FALSE,"ANALI-GSFIJOS";#N/A,#N/A,FALSE,"DETA-RUBROS";#N/A,#N/A,FALSE,"ANALI-CNF";#N/A,#N/A,FALSE,"BILAN";#N/A,#N/A,FALSE,"TAB_FIN";#N/A,#N/A,FALSE,"IND_ECO"}</definedName>
    <definedName name="Toto" localSheetId="10" hidden="1">{#N/A,#N/A,FALSE,"SYSOC";#N/A,#N/A,FALSE,"RESU-GESTION";#N/A,#N/A,FALSE,"EVOL-MNA";#N/A,#N/A,FALSE,"VTAS-ANALI";#N/A,#N/A,FALSE,"ANALI-GSFIJOS";#N/A,#N/A,FALSE,"DETA-RUBROS";#N/A,#N/A,FALSE,"ANALI-CNF";#N/A,#N/A,FALSE,"BILAN";#N/A,#N/A,FALSE,"TAB_FIN";#N/A,#N/A,FALSE,"IND_ECO"}</definedName>
    <definedName name="Toto" localSheetId="15" hidden="1">{#N/A,#N/A,FALSE,"SYSOC";#N/A,#N/A,FALSE,"RESU-GESTION";#N/A,#N/A,FALSE,"EVOL-MNA";#N/A,#N/A,FALSE,"VTAS-ANALI";#N/A,#N/A,FALSE,"ANALI-GSFIJOS";#N/A,#N/A,FALSE,"DETA-RUBROS";#N/A,#N/A,FALSE,"ANALI-CNF";#N/A,#N/A,FALSE,"BILAN";#N/A,#N/A,FALSE,"TAB_FIN";#N/A,#N/A,FALSE,"IND_ECO"}</definedName>
    <definedName name="Toto" hidden="1">{#N/A,#N/A,FALSE,"SYSOC";#N/A,#N/A,FALSE,"RESU-GESTION";#N/A,#N/A,FALSE,"EVOL-MNA";#N/A,#N/A,FALSE,"VTAS-ANALI";#N/A,#N/A,FALSE,"ANALI-GSFIJOS";#N/A,#N/A,FALSE,"DETA-RUBROS";#N/A,#N/A,FALSE,"ANALI-CNF";#N/A,#N/A,FALSE,"BILAN";#N/A,#N/A,FALSE,"TAB_FIN";#N/A,#N/A,FALSE,"IND_ECO"}</definedName>
    <definedName name="un" hidden="1">#N/A</definedName>
    <definedName name="UnidAux" hidden="1">#N/A</definedName>
    <definedName name="wrn.COLETAS._.DE._.EQUIPAMENTOS." localSheetId="4" hidden="1">{#N/A,#N/A,FALSE,"EQUIPAMENTOS"}</definedName>
    <definedName name="wrn.COLETAS._.DE._.EQUIPAMENTOS." localSheetId="1" hidden="1">{#N/A,#N/A,FALSE,"EQUIPAMENTOS"}</definedName>
    <definedName name="wrn.COLETAS._.DE._.EQUIPAMENTOS." localSheetId="2" hidden="1">{#N/A,#N/A,FALSE,"EQUIPAMENTOS"}</definedName>
    <definedName name="wrn.COLETAS._.DE._.EQUIPAMENTOS." localSheetId="0" hidden="1">{#N/A,#N/A,FALSE,"EQUIPAMENTOS"}</definedName>
    <definedName name="wrn.COLETAS._.DE._.EQUIPAMENTOS." localSheetId="11" hidden="1">{#N/A,#N/A,FALSE,"EQUIPAMENTOS"}</definedName>
    <definedName name="wrn.COLETAS._.DE._.EQUIPAMENTOS." localSheetId="10" hidden="1">{#N/A,#N/A,FALSE,"EQUIPAMENTOS"}</definedName>
    <definedName name="wrn.COLETAS._.DE._.EQUIPAMENTOS." localSheetId="15" hidden="1">{#N/A,#N/A,FALSE,"EQUIPAMENTOS"}</definedName>
    <definedName name="wrn.COLETAS._.DE._.EQUIPAMENTOS." hidden="1">{#N/A,#N/A,FALSE,"EQUIPAMENTOS"}</definedName>
    <definedName name="wrn.COLETAS._.DE._.MATERIAIS." localSheetId="4" hidden="1">{#N/A,#N/A,FALSE,"SOTREQ"}</definedName>
    <definedName name="wrn.COLETAS._.DE._.MATERIAIS." localSheetId="1" hidden="1">{#N/A,#N/A,FALSE,"SOTREQ"}</definedName>
    <definedName name="wrn.COLETAS._.DE._.MATERIAIS." localSheetId="2" hidden="1">{#N/A,#N/A,FALSE,"SOTREQ"}</definedName>
    <definedName name="wrn.COLETAS._.DE._.MATERIAIS." localSheetId="0" hidden="1">{#N/A,#N/A,FALSE,"SOTREQ"}</definedName>
    <definedName name="wrn.COLETAS._.DE._.MATERIAIS." localSheetId="11" hidden="1">{#N/A,#N/A,FALSE,"SOTREQ"}</definedName>
    <definedName name="wrn.COLETAS._.DE._.MATERIAIS." localSheetId="10" hidden="1">{#N/A,#N/A,FALSE,"SOTREQ"}</definedName>
    <definedName name="wrn.COLETAS._.DE._.MATERIAIS." localSheetId="15" hidden="1">{#N/A,#N/A,FALSE,"SOTREQ"}</definedName>
    <definedName name="wrn.COLETAS._.DE._.MATERIAIS." hidden="1">{#N/A,#N/A,FALSE,"SOTREQ"}</definedName>
    <definedName name="wrn.COMP._.EQUIP." localSheetId="4" hidden="1">{#N/A,#N/A,FALSE,"EQUIPAMENTOS"}</definedName>
    <definedName name="wrn.COMP._.EQUIP." localSheetId="1" hidden="1">{#N/A,#N/A,FALSE,"EQUIPAMENTOS"}</definedName>
    <definedName name="wrn.COMP._.EQUIP." localSheetId="2" hidden="1">{#N/A,#N/A,FALSE,"EQUIPAMENTOS"}</definedName>
    <definedName name="wrn.COMP._.EQUIP." localSheetId="0" hidden="1">{#N/A,#N/A,FALSE,"EQUIPAMENTOS"}</definedName>
    <definedName name="wrn.COMP._.EQUIP." localSheetId="11" hidden="1">{#N/A,#N/A,FALSE,"EQUIPAMENTOS"}</definedName>
    <definedName name="wrn.COMP._.EQUIP." localSheetId="10" hidden="1">{#N/A,#N/A,FALSE,"EQUIPAMENTOS"}</definedName>
    <definedName name="wrn.COMP._.EQUIP." localSheetId="15" hidden="1">{#N/A,#N/A,FALSE,"EQUIPAMENTOS"}</definedName>
    <definedName name="wrn.COMP._.EQUIP." hidden="1">{#N/A,#N/A,FALSE,"EQUIPAMENTOS"}</definedName>
    <definedName name="wrn.COMP._.MATERIAIS." localSheetId="4" hidden="1">{#N/A,#N/A,FALSE,"MATERIAIS"}</definedName>
    <definedName name="wrn.COMP._.MATERIAIS." localSheetId="1" hidden="1">{#N/A,#N/A,FALSE,"MATERIAIS"}</definedName>
    <definedName name="wrn.COMP._.MATERIAIS." localSheetId="2" hidden="1">{#N/A,#N/A,FALSE,"MATERIAIS"}</definedName>
    <definedName name="wrn.COMP._.MATERIAIS." localSheetId="0" hidden="1">{#N/A,#N/A,FALSE,"MATERIAIS"}</definedName>
    <definedName name="wrn.COMP._.MATERIAIS." localSheetId="11" hidden="1">{#N/A,#N/A,FALSE,"MATERIAIS"}</definedName>
    <definedName name="wrn.COMP._.MATERIAIS." localSheetId="10" hidden="1">{#N/A,#N/A,FALSE,"MATERIAIS"}</definedName>
    <definedName name="wrn.COMP._.MATERIAIS." localSheetId="15" hidden="1">{#N/A,#N/A,FALSE,"MATERIAIS"}</definedName>
    <definedName name="wrn.COMP._.MATERIAIS." hidden="1">{#N/A,#N/A,FALSE,"MATERIAIS"}</definedName>
    <definedName name="wrn.PNEUS." localSheetId="4" hidden="1">{#N/A,#N/A,FALSE,"EQUIPAMENTOS"}</definedName>
    <definedName name="wrn.PNEUS." localSheetId="1" hidden="1">{#N/A,#N/A,FALSE,"EQUIPAMENTOS"}</definedName>
    <definedName name="wrn.PNEUS." localSheetId="2" hidden="1">{#N/A,#N/A,FALSE,"EQUIPAMENTOS"}</definedName>
    <definedName name="wrn.PNEUS." localSheetId="0" hidden="1">{#N/A,#N/A,FALSE,"EQUIPAMENTOS"}</definedName>
    <definedName name="wrn.PNEUS." localSheetId="11" hidden="1">{#N/A,#N/A,FALSE,"EQUIPAMENTOS"}</definedName>
    <definedName name="wrn.PNEUS." localSheetId="10" hidden="1">{#N/A,#N/A,FALSE,"EQUIPAMENTOS"}</definedName>
    <definedName name="wrn.PNEUS." localSheetId="15" hidden="1">{#N/A,#N/A,FALSE,"EQUIPAMENTOS"}</definedName>
    <definedName name="wrn.PNEUS." hidden="1">{#N/A,#N/A,FALSE,"EQUIPAMENTOS"}</definedName>
    <definedName name="wrn.SOCIEDAD." localSheetId="4" hidden="1">{#N/A,#N/A,FALSE,"SYSOC";#N/A,#N/A,FALSE,"RESU-GESTION";#N/A,#N/A,FALSE,"EVOL-MNA";#N/A,#N/A,FALSE,"VTAS-ANALI";#N/A,#N/A,FALSE,"ANALI-GSFIJOS";#N/A,#N/A,FALSE,"DETA-RUBROS";#N/A,#N/A,FALSE,"ANALI-CNF";#N/A,#N/A,FALSE,"BILAN";#N/A,#N/A,FALSE,"TAB_FIN";#N/A,#N/A,FALSE,"IND_ECO"}</definedName>
    <definedName name="wrn.SOCIEDAD." localSheetId="1" hidden="1">{#N/A,#N/A,FALSE,"SYSOC";#N/A,#N/A,FALSE,"RESU-GESTION";#N/A,#N/A,FALSE,"EVOL-MNA";#N/A,#N/A,FALSE,"VTAS-ANALI";#N/A,#N/A,FALSE,"ANALI-GSFIJOS";#N/A,#N/A,FALSE,"DETA-RUBROS";#N/A,#N/A,FALSE,"ANALI-CNF";#N/A,#N/A,FALSE,"BILAN";#N/A,#N/A,FALSE,"TAB_FIN";#N/A,#N/A,FALSE,"IND_ECO"}</definedName>
    <definedName name="wrn.SOCIEDAD." localSheetId="2" hidden="1">{#N/A,#N/A,FALSE,"SYSOC";#N/A,#N/A,FALSE,"RESU-GESTION";#N/A,#N/A,FALSE,"EVOL-MNA";#N/A,#N/A,FALSE,"VTAS-ANALI";#N/A,#N/A,FALSE,"ANALI-GSFIJOS";#N/A,#N/A,FALSE,"DETA-RUBROS";#N/A,#N/A,FALSE,"ANALI-CNF";#N/A,#N/A,FALSE,"BILAN";#N/A,#N/A,FALSE,"TAB_FIN";#N/A,#N/A,FALSE,"IND_ECO"}</definedName>
    <definedName name="wrn.SOCIEDAD." localSheetId="0" hidden="1">{#N/A,#N/A,FALSE,"SYSOC";#N/A,#N/A,FALSE,"RESU-GESTION";#N/A,#N/A,FALSE,"EVOL-MNA";#N/A,#N/A,FALSE,"VTAS-ANALI";#N/A,#N/A,FALSE,"ANALI-GSFIJOS";#N/A,#N/A,FALSE,"DETA-RUBROS";#N/A,#N/A,FALSE,"ANALI-CNF";#N/A,#N/A,FALSE,"BILAN";#N/A,#N/A,FALSE,"TAB_FIN";#N/A,#N/A,FALSE,"IND_ECO"}</definedName>
    <definedName name="wrn.SOCIEDAD." localSheetId="11" hidden="1">{#N/A,#N/A,FALSE,"SYSOC";#N/A,#N/A,FALSE,"RESU-GESTION";#N/A,#N/A,FALSE,"EVOL-MNA";#N/A,#N/A,FALSE,"VTAS-ANALI";#N/A,#N/A,FALSE,"ANALI-GSFIJOS";#N/A,#N/A,FALSE,"DETA-RUBROS";#N/A,#N/A,FALSE,"ANALI-CNF";#N/A,#N/A,FALSE,"BILAN";#N/A,#N/A,FALSE,"TAB_FIN";#N/A,#N/A,FALSE,"IND_ECO"}</definedName>
    <definedName name="wrn.SOCIEDAD." localSheetId="10" hidden="1">{#N/A,#N/A,FALSE,"SYSOC";#N/A,#N/A,FALSE,"RESU-GESTION";#N/A,#N/A,FALSE,"EVOL-MNA";#N/A,#N/A,FALSE,"VTAS-ANALI";#N/A,#N/A,FALSE,"ANALI-GSFIJOS";#N/A,#N/A,FALSE,"DETA-RUBROS";#N/A,#N/A,FALSE,"ANALI-CNF";#N/A,#N/A,FALSE,"BILAN";#N/A,#N/A,FALSE,"TAB_FIN";#N/A,#N/A,FALSE,"IND_ECO"}</definedName>
    <definedName name="wrn.SOCIEDAD." localSheetId="15" hidden="1">{#N/A,#N/A,FALSE,"SYSOC";#N/A,#N/A,FALSE,"RESU-GESTION";#N/A,#N/A,FALSE,"EVOL-MNA";#N/A,#N/A,FALSE,"VTAS-ANALI";#N/A,#N/A,FALSE,"ANALI-GSFIJOS";#N/A,#N/A,FALSE,"DETA-RUBROS";#N/A,#N/A,FALSE,"ANALI-CNF";#N/A,#N/A,FALSE,"BILAN";#N/A,#N/A,FALSE,"TAB_FIN";#N/A,#N/A,FALSE,"IND_ECO"}</definedName>
    <definedName name="wrn.SOCIEDAD." hidden="1">{#N/A,#N/A,FALSE,"SYSOC";#N/A,#N/A,FALSE,"RESU-GESTION";#N/A,#N/A,FALSE,"EVOL-MNA";#N/A,#N/A,FALSE,"VTAS-ANALI";#N/A,#N/A,FALSE,"ANALI-GSFIJOS";#N/A,#N/A,FALSE,"DETA-RUBROS";#N/A,#N/A,FALSE,"ANALI-CNF";#N/A,#N/A,FALSE,"BILAN";#N/A,#N/A,FALSE,"TAB_FIN";#N/A,#N/A,FALSE,"IND_ECO"}</definedName>
    <definedName name="x" localSheetId="4" hidden="1">{#N/A,#N/A,FALSE,"EQUIPAMENTOS"}</definedName>
    <definedName name="x" localSheetId="1" hidden="1">{#N/A,#N/A,FALSE,"EQUIPAMENTOS"}</definedName>
    <definedName name="x" localSheetId="2" hidden="1">{#N/A,#N/A,FALSE,"EQUIPAMENTOS"}</definedName>
    <definedName name="x" localSheetId="0" hidden="1">{#N/A,#N/A,FALSE,"EQUIPAMENTOS"}</definedName>
    <definedName name="x" localSheetId="11" hidden="1">{#N/A,#N/A,FALSE,"EQUIPAMENTOS"}</definedName>
    <definedName name="x" localSheetId="10" hidden="1">{#N/A,#N/A,FALSE,"EQUIPAMENTOS"}</definedName>
    <definedName name="x" localSheetId="15" hidden="1">{#N/A,#N/A,FALSE,"EQUIPAMENTOS"}</definedName>
    <definedName name="x" hidden="1">{#N/A,#N/A,FALSE,"EQUIPAMENTOS"}</definedName>
    <definedName name="Z_6676F9E1_BF15_11D6_97E7_0080C8432A9D_.wvu.FilterData" localSheetId="4" hidden="1">#REF!</definedName>
    <definedName name="Z_6676F9E1_BF15_11D6_97E7_0080C8432A9D_.wvu.FilterData" localSheetId="1" hidden="1">#REF!</definedName>
    <definedName name="Z_6676F9E1_BF15_11D6_97E7_0080C8432A9D_.wvu.FilterData" localSheetId="2" hidden="1">#REF!</definedName>
    <definedName name="Z_6676F9E1_BF15_11D6_97E7_0080C8432A9D_.wvu.FilterData" localSheetId="0" hidden="1">#REF!</definedName>
    <definedName name="Z_6676F9E1_BF15_11D6_97E7_0080C8432A9D_.wvu.FilterData" localSheetId="11" hidden="1">#REF!</definedName>
    <definedName name="Z_6676F9E1_BF15_11D6_97E7_0080C8432A9D_.wvu.FilterData" localSheetId="10" hidden="1">#REF!</definedName>
    <definedName name="Z_6676F9E1_BF15_11D6_97E7_0080C8432A9D_.wvu.FilterData" localSheetId="15" hidden="1">#REF!</definedName>
    <definedName name="Z_6676F9E1_BF15_11D6_97E7_0080C8432A9D_.wvu.FilterDat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 i="4" l="1"/>
  <c r="C68" i="4"/>
  <c r="B34" i="75" l="1"/>
  <c r="B26" i="75"/>
  <c r="B13" i="75"/>
  <c r="B39" i="75" l="1"/>
  <c r="B42" i="75" s="1"/>
  <c r="C29" i="58" l="1"/>
  <c r="C29" i="4"/>
  <c r="C90" i="4"/>
  <c r="C9" i="4"/>
  <c r="C69" i="4"/>
  <c r="C49" i="4"/>
  <c r="C9" i="58"/>
  <c r="E26" i="4" l="1"/>
  <c r="E30" i="68"/>
  <c r="C13" i="4" l="1"/>
  <c r="F23" i="74" l="1"/>
  <c r="J20" i="74"/>
  <c r="J23" i="74" s="1"/>
  <c r="I20" i="74"/>
  <c r="I23" i="74" s="1"/>
  <c r="H20" i="74"/>
  <c r="H23" i="74" s="1"/>
  <c r="E31" i="68" l="1"/>
  <c r="E31" i="70"/>
  <c r="D29" i="59"/>
  <c r="B8" i="1" l="1"/>
  <c r="D41" i="59" l="1"/>
  <c r="D22" i="59"/>
  <c r="D32" i="59"/>
  <c r="K3" i="66"/>
  <c r="E6" i="71"/>
  <c r="E8" i="71" s="1"/>
  <c r="E38" i="71"/>
  <c r="E29" i="71"/>
  <c r="E36" i="71" s="1"/>
  <c r="E27" i="71"/>
  <c r="E28" i="71" s="1"/>
  <c r="E22" i="71"/>
  <c r="E23" i="71" s="1"/>
  <c r="E21" i="71"/>
  <c r="E13" i="71"/>
  <c r="D48" i="10"/>
  <c r="H48" i="10" s="1"/>
  <c r="I48" i="10" s="1"/>
  <c r="D47" i="10"/>
  <c r="H47" i="10" s="1"/>
  <c r="I47" i="10" s="1"/>
  <c r="D50" i="10"/>
  <c r="H50" i="10" s="1"/>
  <c r="I50" i="10" s="1"/>
  <c r="F49" i="10"/>
  <c r="H49" i="10" s="1"/>
  <c r="I49" i="10" s="1"/>
  <c r="D59" i="10"/>
  <c r="H59" i="10" s="1"/>
  <c r="I59" i="10" s="1"/>
  <c r="D58" i="10"/>
  <c r="H58" i="10" s="1"/>
  <c r="I58" i="10" s="1"/>
  <c r="D57" i="10"/>
  <c r="H57" i="10" s="1"/>
  <c r="I57" i="10" s="1"/>
  <c r="G56" i="10"/>
  <c r="F56" i="10"/>
  <c r="D56" i="10"/>
  <c r="D55" i="10"/>
  <c r="H55" i="10" s="1"/>
  <c r="I55" i="10" s="1"/>
  <c r="D44" i="10"/>
  <c r="H44" i="10" s="1"/>
  <c r="I44" i="10" s="1"/>
  <c r="D53" i="10"/>
  <c r="H53" i="10" s="1"/>
  <c r="I53" i="10" s="1"/>
  <c r="D52" i="10"/>
  <c r="H52" i="10" s="1"/>
  <c r="I52" i="10" s="1"/>
  <c r="D51" i="10"/>
  <c r="H51" i="10" s="1"/>
  <c r="I51" i="10" s="1"/>
  <c r="D61" i="10"/>
  <c r="H61" i="10" s="1"/>
  <c r="I61" i="10" s="1"/>
  <c r="D60" i="10"/>
  <c r="H60" i="10" s="1"/>
  <c r="I60" i="10" s="1"/>
  <c r="D54" i="10"/>
  <c r="H54" i="10" s="1"/>
  <c r="I54" i="10" s="1"/>
  <c r="D46" i="10"/>
  <c r="H46" i="10" s="1"/>
  <c r="I46" i="10" s="1"/>
  <c r="D45" i="10"/>
  <c r="H45" i="10" s="1"/>
  <c r="I45" i="10" s="1"/>
  <c r="D43" i="10"/>
  <c r="H43" i="10" s="1"/>
  <c r="D29" i="10"/>
  <c r="D20" i="10"/>
  <c r="E35" i="71" l="1"/>
  <c r="E37" i="71" s="1"/>
  <c r="D26" i="59"/>
  <c r="J51" i="10"/>
  <c r="J45" i="10"/>
  <c r="H56" i="10"/>
  <c r="I56" i="10" s="1"/>
  <c r="J56" i="10" s="1"/>
  <c r="E40" i="71"/>
  <c r="E30" i="71"/>
  <c r="E31" i="71" s="1"/>
  <c r="E10" i="71"/>
  <c r="I43" i="10"/>
  <c r="J43" i="10" s="1"/>
  <c r="G20" i="58"/>
  <c r="F6" i="10" l="1"/>
  <c r="J62" i="10"/>
  <c r="F9" i="10"/>
  <c r="F8" i="10"/>
  <c r="F7" i="10"/>
  <c r="E41" i="71"/>
  <c r="E17" i="71"/>
  <c r="E24" i="71" s="1"/>
  <c r="E16" i="71"/>
  <c r="E12" i="71"/>
  <c r="E14" i="71" s="1"/>
  <c r="E37" i="70"/>
  <c r="E38" i="70" s="1"/>
  <c r="E32" i="70"/>
  <c r="E21" i="70"/>
  <c r="E7" i="70"/>
  <c r="E11" i="70" s="1"/>
  <c r="E6" i="70"/>
  <c r="E8" i="70" l="1"/>
  <c r="E12" i="70" s="1"/>
  <c r="E16" i="70" s="1"/>
  <c r="E20" i="70" s="1"/>
  <c r="E23" i="70" s="1"/>
  <c r="E55" i="70"/>
  <c r="D40" i="59"/>
  <c r="D39" i="59"/>
  <c r="J5" i="66"/>
  <c r="J3" i="66"/>
  <c r="J4" i="66"/>
  <c r="J6" i="66"/>
  <c r="E25" i="71"/>
  <c r="E52" i="70"/>
  <c r="E39" i="70"/>
  <c r="E15" i="70"/>
  <c r="E57" i="70"/>
  <c r="E21" i="68"/>
  <c r="E43" i="68"/>
  <c r="E37" i="68"/>
  <c r="E38" i="68" s="1"/>
  <c r="E32" i="68"/>
  <c r="E7" i="68"/>
  <c r="E11" i="68" s="1"/>
  <c r="E6" i="68"/>
  <c r="E55" i="68" s="1"/>
  <c r="E42" i="71" l="1"/>
  <c r="E52" i="68"/>
  <c r="E25" i="70"/>
  <c r="E26" i="70"/>
  <c r="E33" i="70" s="1"/>
  <c r="E19" i="70"/>
  <c r="E22" i="70" s="1"/>
  <c r="E12" i="68"/>
  <c r="E16" i="68" s="1"/>
  <c r="E20" i="68" s="1"/>
  <c r="E23" i="68" s="1"/>
  <c r="E15" i="68"/>
  <c r="E57" i="68"/>
  <c r="E8" i="68"/>
  <c r="E43" i="71" l="1"/>
  <c r="E34" i="70"/>
  <c r="E26" i="68"/>
  <c r="E33" i="68" s="1"/>
  <c r="E25" i="68"/>
  <c r="E19" i="68"/>
  <c r="E22" i="68" s="1"/>
  <c r="E34" i="68" l="1"/>
  <c r="C4" i="10" l="1"/>
  <c r="K7" i="10" l="1"/>
  <c r="K9" i="10"/>
  <c r="K6" i="10"/>
  <c r="K8" i="10"/>
  <c r="G48" i="58"/>
  <c r="G49" i="58"/>
  <c r="G50" i="58"/>
  <c r="G51" i="58"/>
  <c r="G52" i="58"/>
  <c r="G53" i="58"/>
  <c r="G47" i="58"/>
  <c r="G57" i="58"/>
  <c r="G54" i="58" l="1"/>
  <c r="G59" i="58" s="1"/>
  <c r="E65" i="58" s="1"/>
  <c r="G65" i="58" s="1"/>
  <c r="C21" i="12" s="1"/>
  <c r="K5" i="66" l="1"/>
  <c r="M5" i="66" s="1"/>
  <c r="K6" i="66"/>
  <c r="M6" i="66" s="1"/>
  <c r="K4" i="66"/>
  <c r="M4" i="66" s="1"/>
  <c r="M3" i="66"/>
  <c r="H4" i="66"/>
  <c r="G6" i="66" s="1"/>
  <c r="H27" i="66"/>
  <c r="H22" i="66"/>
  <c r="H17" i="66"/>
  <c r="H12" i="66"/>
  <c r="H7" i="66"/>
  <c r="L27" i="66"/>
  <c r="L12" i="66"/>
  <c r="M22" i="66"/>
  <c r="M17" i="66"/>
  <c r="M7" i="66"/>
  <c r="L7" i="66"/>
  <c r="H6" i="66" l="1"/>
  <c r="N7" i="66" l="1"/>
  <c r="J22" i="66"/>
  <c r="L22" i="66" s="1"/>
  <c r="J17" i="66"/>
  <c r="H3" i="66"/>
  <c r="G5" i="66" s="1"/>
  <c r="H5" i="66" s="1"/>
  <c r="F7" i="66"/>
  <c r="M11" i="59"/>
  <c r="L17" i="66" l="1"/>
  <c r="N17" i="66" s="1"/>
  <c r="N22" i="66"/>
  <c r="J9" i="59" l="1"/>
  <c r="J8" i="59" l="1"/>
  <c r="J11" i="59"/>
  <c r="J12" i="59"/>
  <c r="J13" i="59"/>
  <c r="J14" i="59"/>
  <c r="J15" i="59"/>
  <c r="J10" i="59"/>
  <c r="J7" i="59"/>
  <c r="J6" i="59"/>
  <c r="J16" i="59" l="1"/>
  <c r="E40" i="70"/>
  <c r="E42" i="70" l="1"/>
  <c r="D18" i="10"/>
  <c r="D19" i="10" s="1"/>
  <c r="D30" i="10" l="1"/>
  <c r="D31" i="10" s="1"/>
  <c r="D35" i="10" s="1"/>
  <c r="D37" i="10" s="1"/>
  <c r="I11" i="59"/>
  <c r="K11" i="59" s="1"/>
  <c r="D38" i="10" l="1"/>
  <c r="D39" i="10"/>
  <c r="D40" i="10"/>
  <c r="D36" i="10"/>
  <c r="M14" i="59" l="1"/>
  <c r="I13" i="59" s="1"/>
  <c r="K13" i="59" s="1"/>
  <c r="M15" i="59"/>
  <c r="I15" i="59" s="1"/>
  <c r="M10" i="59"/>
  <c r="I10" i="59" s="1"/>
  <c r="M6" i="59"/>
  <c r="I6" i="59" s="1"/>
  <c r="D6" i="59"/>
  <c r="K15" i="59" l="1"/>
  <c r="K27" i="66"/>
  <c r="M27" i="66" s="1"/>
  <c r="N27" i="66" s="1"/>
  <c r="K10" i="59"/>
  <c r="K12" i="66"/>
  <c r="M12" i="66" s="1"/>
  <c r="N12" i="66" s="1"/>
  <c r="K6" i="59"/>
  <c r="E41" i="70"/>
  <c r="E53" i="70" s="1"/>
  <c r="I16" i="59"/>
  <c r="L4" i="66"/>
  <c r="N4" i="66" s="1"/>
  <c r="L3" i="66"/>
  <c r="N3" i="66" s="1"/>
  <c r="L5" i="66"/>
  <c r="N5" i="66" s="1"/>
  <c r="E8" i="10"/>
  <c r="E54" i="70" l="1"/>
  <c r="E43" i="70"/>
  <c r="E44" i="70" s="1"/>
  <c r="E7" i="10"/>
  <c r="F5" i="66"/>
  <c r="E9" i="10"/>
  <c r="E6" i="10"/>
  <c r="E58" i="70" l="1"/>
  <c r="E59" i="70" s="1"/>
  <c r="E60" i="70" s="1"/>
  <c r="E10" i="61" s="1"/>
  <c r="F3" i="66"/>
  <c r="F4" i="66"/>
  <c r="F6" i="66"/>
  <c r="L6" i="66"/>
  <c r="N6" i="66" s="1"/>
  <c r="D23" i="10" l="1"/>
  <c r="H6" i="59" l="1"/>
  <c r="D7" i="59"/>
  <c r="D8" i="59"/>
  <c r="H8" i="59" s="1"/>
  <c r="D9" i="59"/>
  <c r="H9" i="59" s="1"/>
  <c r="D10" i="59"/>
  <c r="D15" i="59"/>
  <c r="D11" i="59"/>
  <c r="D12" i="59"/>
  <c r="D13" i="59"/>
  <c r="D14" i="59"/>
  <c r="H14" i="59" s="1"/>
  <c r="H11" i="59" l="1"/>
  <c r="H10" i="59"/>
  <c r="F12" i="66" s="1"/>
  <c r="H12" i="59"/>
  <c r="H15" i="59"/>
  <c r="F27" i="66" s="1"/>
  <c r="H13" i="59"/>
  <c r="F22" i="66" s="1"/>
  <c r="H7" i="59"/>
  <c r="H16" i="59" s="1"/>
  <c r="G10" i="7"/>
  <c r="B7" i="1"/>
  <c r="B9" i="1" s="1"/>
  <c r="G24" i="58"/>
  <c r="G25" i="58"/>
  <c r="G38" i="58"/>
  <c r="G37" i="58"/>
  <c r="G36" i="58"/>
  <c r="G35" i="58"/>
  <c r="C34" i="58"/>
  <c r="G34" i="58" s="1"/>
  <c r="C33" i="58"/>
  <c r="G33" i="58" s="1"/>
  <c r="G32" i="58"/>
  <c r="G18" i="58"/>
  <c r="G17" i="58"/>
  <c r="G16" i="58"/>
  <c r="G15" i="58"/>
  <c r="C14" i="58"/>
  <c r="G14" i="58" s="1"/>
  <c r="C13" i="58"/>
  <c r="G13" i="58" s="1"/>
  <c r="G12" i="58"/>
  <c r="G5" i="58"/>
  <c r="G4" i="58"/>
  <c r="E6" i="58" l="1"/>
  <c r="G6" i="58" s="1"/>
  <c r="F17" i="66"/>
  <c r="E8" i="58"/>
  <c r="G8" i="58" s="1"/>
  <c r="E7" i="58"/>
  <c r="G7" i="58" s="1"/>
  <c r="E26" i="58"/>
  <c r="G26" i="58" s="1"/>
  <c r="E9" i="58" l="1"/>
  <c r="E28" i="58"/>
  <c r="G28" i="58" s="1"/>
  <c r="E27" i="58"/>
  <c r="G27" i="58" s="1"/>
  <c r="E29" i="58" l="1"/>
  <c r="B5" i="1" l="1"/>
  <c r="G15" i="4" l="1"/>
  <c r="G13" i="4"/>
  <c r="G18" i="4"/>
  <c r="G99" i="4" l="1"/>
  <c r="G98" i="4"/>
  <c r="G97" i="4"/>
  <c r="G96" i="4"/>
  <c r="C95" i="4"/>
  <c r="G95" i="4" s="1"/>
  <c r="C94" i="4"/>
  <c r="G94" i="4" s="1"/>
  <c r="G93" i="4"/>
  <c r="G86" i="4"/>
  <c r="G85" i="4"/>
  <c r="G84" i="4"/>
  <c r="G78" i="4"/>
  <c r="G77" i="4"/>
  <c r="G76" i="4"/>
  <c r="G75" i="4"/>
  <c r="C74" i="4"/>
  <c r="G74" i="4" s="1"/>
  <c r="C73" i="4"/>
  <c r="G73" i="4" s="1"/>
  <c r="G72" i="4"/>
  <c r="G65" i="4"/>
  <c r="G64" i="4"/>
  <c r="G58" i="4"/>
  <c r="G57" i="4"/>
  <c r="G56" i="4"/>
  <c r="G55" i="4"/>
  <c r="C54" i="4"/>
  <c r="G54" i="4" s="1"/>
  <c r="C53" i="4"/>
  <c r="G53" i="4" s="1"/>
  <c r="G52" i="4"/>
  <c r="G45" i="4"/>
  <c r="G44" i="4"/>
  <c r="G38" i="4"/>
  <c r="G37" i="4"/>
  <c r="G36" i="4"/>
  <c r="G35" i="4"/>
  <c r="C34" i="4"/>
  <c r="G34" i="4" s="1"/>
  <c r="C33" i="4"/>
  <c r="G33" i="4" s="1"/>
  <c r="G32" i="4"/>
  <c r="G25" i="4"/>
  <c r="G24" i="4"/>
  <c r="G17" i="4"/>
  <c r="G16" i="4"/>
  <c r="C14" i="4"/>
  <c r="G14" i="4" s="1"/>
  <c r="G12" i="4"/>
  <c r="G5" i="4"/>
  <c r="G4" i="4"/>
  <c r="E68" i="4" l="1"/>
  <c r="E8" i="4"/>
  <c r="G8" i="4" s="1"/>
  <c r="E89" i="4"/>
  <c r="G89" i="4" s="1"/>
  <c r="E48" i="4"/>
  <c r="G48" i="4" s="1"/>
  <c r="G26" i="4"/>
  <c r="E87" i="4"/>
  <c r="G87" i="4" s="1"/>
  <c r="G27" i="4"/>
  <c r="E28" i="4"/>
  <c r="G46" i="4"/>
  <c r="E6" i="4"/>
  <c r="G6" i="4" s="1"/>
  <c r="E47" i="4"/>
  <c r="G47" i="4" s="1"/>
  <c r="E7" i="4"/>
  <c r="G7" i="4" s="1"/>
  <c r="E88" i="4"/>
  <c r="G88" i="4" s="1"/>
  <c r="G66" i="4"/>
  <c r="E67" i="4"/>
  <c r="G67" i="4" s="1"/>
  <c r="E90" i="4" l="1"/>
  <c r="E9" i="4"/>
  <c r="E49" i="4"/>
  <c r="G24" i="7" l="1"/>
  <c r="G23" i="7"/>
  <c r="E22" i="7"/>
  <c r="G22" i="7" s="1"/>
  <c r="G21" i="7"/>
  <c r="G20" i="7"/>
  <c r="G19" i="7"/>
  <c r="G18" i="7"/>
  <c r="G11" i="7"/>
  <c r="G9" i="7"/>
  <c r="G8" i="7"/>
  <c r="E7" i="7"/>
  <c r="G7" i="7" s="1"/>
  <c r="G6" i="7"/>
  <c r="G5" i="7"/>
  <c r="B6" i="1"/>
  <c r="G68" i="4" l="1"/>
  <c r="E69" i="4" s="1"/>
  <c r="G28" i="4"/>
  <c r="E29" i="4" s="1"/>
  <c r="G12" i="7"/>
  <c r="G13" i="7" s="1"/>
  <c r="G14" i="7"/>
  <c r="E80" i="4" s="1"/>
  <c r="G80" i="4" s="1"/>
  <c r="G39" i="58"/>
  <c r="G19" i="58"/>
  <c r="G11" i="58"/>
  <c r="G31" i="58"/>
  <c r="K14" i="59"/>
  <c r="K12" i="59"/>
  <c r="G31" i="4"/>
  <c r="G79" i="4"/>
  <c r="G51" i="4"/>
  <c r="G39" i="4"/>
  <c r="C92" i="4"/>
  <c r="G92" i="4" s="1"/>
  <c r="G59" i="4"/>
  <c r="G100" i="4"/>
  <c r="G19" i="4"/>
  <c r="C71" i="4"/>
  <c r="G71" i="4" s="1"/>
  <c r="D12" i="12"/>
  <c r="E12" i="12" s="1"/>
  <c r="G27" i="7"/>
  <c r="G25" i="7"/>
  <c r="G26" i="7" s="1"/>
  <c r="K17" i="59" l="1"/>
  <c r="K10" i="10"/>
  <c r="K11" i="10" s="1"/>
  <c r="D9" i="12"/>
  <c r="E9" i="12" s="1"/>
  <c r="D10" i="12"/>
  <c r="E10" i="12" s="1"/>
  <c r="D13" i="12"/>
  <c r="E13" i="12" s="1"/>
  <c r="D21" i="12"/>
  <c r="E21" i="12" s="1"/>
  <c r="D11" i="12"/>
  <c r="E11" i="12" s="1"/>
  <c r="D7" i="12"/>
  <c r="D8" i="12"/>
  <c r="E8" i="12" s="1"/>
  <c r="D14" i="12"/>
  <c r="E14" i="12" s="1"/>
  <c r="E40" i="4"/>
  <c r="G40" i="4" s="1"/>
  <c r="E40" i="58"/>
  <c r="G40" i="58" s="1"/>
  <c r="E20" i="4"/>
  <c r="G20" i="4" s="1"/>
  <c r="G101" i="4"/>
  <c r="E60" i="4"/>
  <c r="G60" i="4" s="1"/>
  <c r="G29" i="58" l="1"/>
  <c r="G30" i="58" s="1"/>
  <c r="G41" i="58" s="1"/>
  <c r="E64" i="58" s="1"/>
  <c r="G64" i="58" s="1"/>
  <c r="C20" i="12" s="1"/>
  <c r="D20" i="12" s="1"/>
  <c r="E20" i="12" s="1"/>
  <c r="G9" i="58"/>
  <c r="G10" i="58" s="1"/>
  <c r="G21" i="58" s="1"/>
  <c r="E63" i="58" s="1"/>
  <c r="G63" i="58" s="1"/>
  <c r="G69" i="4"/>
  <c r="G70" i="4" s="1"/>
  <c r="G81" i="4" s="1"/>
  <c r="C106" i="4" s="1"/>
  <c r="E106" i="4" s="1"/>
  <c r="G9" i="4"/>
  <c r="G10" i="4" s="1"/>
  <c r="C116" i="4" s="1"/>
  <c r="G29" i="4"/>
  <c r="G30" i="4" s="1"/>
  <c r="C108" i="4" s="1"/>
  <c r="G90" i="4"/>
  <c r="G91" i="4" s="1"/>
  <c r="C117" i="4" s="1"/>
  <c r="G49" i="4"/>
  <c r="G50" i="4" s="1"/>
  <c r="G61" i="4" s="1"/>
  <c r="D27" i="59"/>
  <c r="D33" i="59"/>
  <c r="E40" i="68"/>
  <c r="E42" i="68" s="1"/>
  <c r="D10" i="5"/>
  <c r="D10" i="61"/>
  <c r="F10" i="61" s="1"/>
  <c r="G10" i="61" s="1"/>
  <c r="E7" i="12"/>
  <c r="E15" i="12" s="1"/>
  <c r="D24" i="10"/>
  <c r="D21" i="10"/>
  <c r="C19" i="12" l="1"/>
  <c r="D19" i="12" s="1"/>
  <c r="E19" i="12" s="1"/>
  <c r="E22" i="12" s="1"/>
  <c r="E24" i="12" s="1"/>
  <c r="G66" i="58"/>
  <c r="G41" i="4"/>
  <c r="C107" i="4" s="1"/>
  <c r="E107" i="4" s="1"/>
  <c r="C109" i="4"/>
  <c r="E109" i="4" s="1"/>
  <c r="G102" i="4"/>
  <c r="G21" i="4"/>
  <c r="C115" i="4" s="1"/>
  <c r="E115" i="4" s="1"/>
  <c r="E53" i="68"/>
  <c r="E54" i="68" s="1"/>
  <c r="D32" i="10"/>
  <c r="E44" i="68"/>
  <c r="H10" i="61"/>
  <c r="C114" i="4"/>
  <c r="E114" i="4" s="1"/>
  <c r="E117" i="4"/>
  <c r="E10" i="55" l="1"/>
  <c r="F10" i="55" s="1"/>
  <c r="G10" i="55" s="1"/>
  <c r="E58" i="68"/>
  <c r="E59" i="68" s="1"/>
  <c r="E60" i="68" s="1"/>
  <c r="E10" i="5" s="1"/>
  <c r="F10" i="5" s="1"/>
  <c r="G10" i="5" s="1"/>
  <c r="E116" i="4"/>
  <c r="E118" i="4" s="1"/>
  <c r="E11" i="61" s="1"/>
  <c r="E108" i="4"/>
  <c r="E110" i="4" s="1"/>
  <c r="E11" i="5" s="1"/>
  <c r="F11" i="5" l="1"/>
  <c r="G11" i="5" s="1"/>
  <c r="H11" i="5" s="1"/>
  <c r="E8" i="55"/>
  <c r="F11" i="61"/>
  <c r="G11" i="61" s="1"/>
  <c r="H11" i="61" s="1"/>
  <c r="H12" i="61" s="1"/>
  <c r="E9" i="55"/>
  <c r="H10" i="5"/>
  <c r="G12" i="61" l="1"/>
  <c r="H12" i="5"/>
  <c r="G12" i="5"/>
  <c r="F8" i="55"/>
  <c r="G8" i="55" s="1"/>
  <c r="F9" i="55"/>
  <c r="G9" i="55" s="1"/>
  <c r="F11" i="55" l="1"/>
  <c r="G11" i="55" l="1"/>
</calcChain>
</file>

<file path=xl/sharedStrings.xml><?xml version="1.0" encoding="utf-8"?>
<sst xmlns="http://schemas.openxmlformats.org/spreadsheetml/2006/main" count="1552" uniqueCount="609">
  <si>
    <t>dias/mês</t>
  </si>
  <si>
    <t>habitantes</t>
  </si>
  <si>
    <t>Peso diário</t>
  </si>
  <si>
    <t>kg/dia</t>
  </si>
  <si>
    <t>Peso mensal</t>
  </si>
  <si>
    <t>toneladas/mês</t>
  </si>
  <si>
    <t>Percurso estimado diário</t>
  </si>
  <si>
    <t>km/dia</t>
  </si>
  <si>
    <t>km</t>
  </si>
  <si>
    <t>km/mês</t>
  </si>
  <si>
    <t>Unidade</t>
  </si>
  <si>
    <t>m³</t>
  </si>
  <si>
    <t>ton/m³</t>
  </si>
  <si>
    <t>ton</t>
  </si>
  <si>
    <t>Percurso estimado total por caminhão</t>
  </si>
  <si>
    <t>Equipe</t>
  </si>
  <si>
    <t>-</t>
  </si>
  <si>
    <t>UNIDADE</t>
  </si>
  <si>
    <t>TOTAL</t>
  </si>
  <si>
    <t>INSUMO</t>
  </si>
  <si>
    <t>MÃO DE OBRA - COLETA DE RSU</t>
  </si>
  <si>
    <t>Salário mensal</t>
  </si>
  <si>
    <t>x</t>
  </si>
  <si>
    <t>=</t>
  </si>
  <si>
    <t>Insalubridade-G.Máximo</t>
  </si>
  <si>
    <t>Hora extra 50%</t>
  </si>
  <si>
    <t>H.E Feriados</t>
  </si>
  <si>
    <t>Adicional H. Noturno</t>
  </si>
  <si>
    <t>Encargos sociais</t>
  </si>
  <si>
    <t>Salário mensal com encargos</t>
  </si>
  <si>
    <t>Vale refeição</t>
  </si>
  <si>
    <t>Cesta básica</t>
  </si>
  <si>
    <t>Cesta de gratificação férias  (1/12)</t>
  </si>
  <si>
    <t>Cesta natalina (1/12)</t>
  </si>
  <si>
    <t>PAF</t>
  </si>
  <si>
    <t>Plano de saúde</t>
  </si>
  <si>
    <t>PCMSO</t>
  </si>
  <si>
    <t>Seguro de vida</t>
  </si>
  <si>
    <t>Vale transporte (deduzido 6%)</t>
  </si>
  <si>
    <t>Uniforme</t>
  </si>
  <si>
    <t>Custo mensal unitário</t>
  </si>
  <si>
    <t>Gratificação acúmulo de função</t>
  </si>
  <si>
    <t>Função</t>
  </si>
  <si>
    <t>Qtde</t>
  </si>
  <si>
    <t>Custo Unitário</t>
  </si>
  <si>
    <t>Custo mensal</t>
  </si>
  <si>
    <t>MOTORISTA DIURNO</t>
  </si>
  <si>
    <t>MOTORISTA NOTURNO</t>
  </si>
  <si>
    <t xml:space="preserve">GARI COLETOR DIURNO </t>
  </si>
  <si>
    <t xml:space="preserve">GARI COLETOR NOTURNO </t>
  </si>
  <si>
    <t>Total mensal</t>
  </si>
  <si>
    <t>OBRA: COLETA DE RESÍDUOS SÓLIDOS DOMICILIARES</t>
  </si>
  <si>
    <t xml:space="preserve">Ref: </t>
  </si>
  <si>
    <t>BDI:</t>
  </si>
  <si>
    <t>Item</t>
  </si>
  <si>
    <t>Descrição de Atividades</t>
  </si>
  <si>
    <t xml:space="preserve">Unidade </t>
  </si>
  <si>
    <t>Quantidade</t>
  </si>
  <si>
    <t>Coleta e transporte de resíduos sólidos domiciliares</t>
  </si>
  <si>
    <t>mês</t>
  </si>
  <si>
    <t>1.1</t>
  </si>
  <si>
    <t>1.2</t>
  </si>
  <si>
    <t>Total</t>
  </si>
  <si>
    <t>INSS</t>
  </si>
  <si>
    <t>FGTS</t>
  </si>
  <si>
    <t>SENAI</t>
  </si>
  <si>
    <t>SESI</t>
  </si>
  <si>
    <t>INCRA</t>
  </si>
  <si>
    <t>Salário Educação</t>
  </si>
  <si>
    <t>SEBRAE</t>
  </si>
  <si>
    <t>TOTAL GRUPO A</t>
  </si>
  <si>
    <t>TOTAL GRUPO B</t>
  </si>
  <si>
    <t>TOTAL GRUPO C</t>
  </si>
  <si>
    <t>TOTAL GRUPO D</t>
  </si>
  <si>
    <t>EQUIPAMENTOS DE PROTEÇÃO INDIVIDUAL</t>
  </si>
  <si>
    <t>Descrição</t>
  </si>
  <si>
    <t>Quant/ano</t>
  </si>
  <si>
    <t>Preço unitário</t>
  </si>
  <si>
    <t>Preço total</t>
  </si>
  <si>
    <t>Camiseta</t>
  </si>
  <si>
    <t>Calça c/ faixa refletiva ABNT NBR 15.292</t>
  </si>
  <si>
    <t>Boné Árabe</t>
  </si>
  <si>
    <t>Calçado de segurança</t>
  </si>
  <si>
    <t>Capa de chuva de PVC</t>
  </si>
  <si>
    <t>Protetor solar FPS 30</t>
  </si>
  <si>
    <t>Custo anual</t>
  </si>
  <si>
    <t>Camisa c/ faixa refletiva ABNT NBR 15.292</t>
  </si>
  <si>
    <t>Capa de chuva PVC</t>
  </si>
  <si>
    <t>Luva nitrilon(par)</t>
  </si>
  <si>
    <t>Protetor Solar FPS 30</t>
  </si>
  <si>
    <t>Despesas Financeiras</t>
  </si>
  <si>
    <t>1º Quartil</t>
  </si>
  <si>
    <t>3º Quartil</t>
  </si>
  <si>
    <t>ENCARGOS DE FORMAÇÃO DE PREÇO</t>
  </si>
  <si>
    <t>SELIC</t>
  </si>
  <si>
    <t>Centro</t>
  </si>
  <si>
    <t>Semanas por mês</t>
  </si>
  <si>
    <t>Rota</t>
  </si>
  <si>
    <t>Setor</t>
  </si>
  <si>
    <t>Custo unitário</t>
  </si>
  <si>
    <t>Diário</t>
  </si>
  <si>
    <t>Percurso total mensal (km)</t>
  </si>
  <si>
    <t>Custo mensal - Noturno</t>
  </si>
  <si>
    <t>Custo mensal - Diurno</t>
  </si>
  <si>
    <t>ADMINISTRAÇÃO LOCAL</t>
  </si>
  <si>
    <t>INSTALAÇÃO ADMINISTRATIVA</t>
  </si>
  <si>
    <t>Impressões, informática e correios</t>
  </si>
  <si>
    <t>Cesta de gratificação férias (1/12)</t>
  </si>
  <si>
    <t>Semanalmente</t>
  </si>
  <si>
    <t>H</t>
  </si>
  <si>
    <t>PLANILHA ORÇAMENTÁRIA - RESUMO MENSAL E TOTAL</t>
  </si>
  <si>
    <t>Bairro</t>
  </si>
  <si>
    <t>INFORMAÇÕES BÁSICAS DA COMPOSIÇÃO</t>
  </si>
  <si>
    <t>Número de dias - seg a sábado médio por mês</t>
  </si>
  <si>
    <t>Número de dias - seg a sábado médio por ano</t>
  </si>
  <si>
    <t>Número de dias úteis - seg a sexta médio por ano</t>
  </si>
  <si>
    <t>Número de dias úteis - seg a sexta médio por mês</t>
  </si>
  <si>
    <t>COLETA DE RSU</t>
  </si>
  <si>
    <t>2.1</t>
  </si>
  <si>
    <t>2.2</t>
  </si>
  <si>
    <t>RESUMO GLOBAL ESTIMADO - LIMPEZA URBANA</t>
  </si>
  <si>
    <t>MÃO DE OBRA - ADMINISTRAÇÃO LOCAL</t>
  </si>
  <si>
    <t>RESUMO ADM. LOCAL</t>
  </si>
  <si>
    <t>ASSISTENTE ADMINISTRATIVO</t>
  </si>
  <si>
    <t>ENGENHEIRO RESPONSÁVEL (RT, MEDIÇÕES, FISCALIZAÇÃO)</t>
  </si>
  <si>
    <t>Assistente administrativo</t>
  </si>
  <si>
    <t>Engenheiro responsável (RT, medições, fiscalização)</t>
  </si>
  <si>
    <t>LOCAL: PRESIDENTE OLEGÁRIO-MG</t>
  </si>
  <si>
    <t>DIMENSIONAMENTO FÍSICO-FINANCEIRO
COLETA DE RESÍDUOS SÓLIDOS URBANOS DE PRESIDENTE OLEGÁRIO-MG</t>
  </si>
  <si>
    <t>RSU (ton/dia)</t>
  </si>
  <si>
    <t>Frequência coleta</t>
  </si>
  <si>
    <t>TOTAL URBANO</t>
  </si>
  <si>
    <t>Bairros</t>
  </si>
  <si>
    <t>Percurso médio diário (km/dia)</t>
  </si>
  <si>
    <t>RESUMO COLETA DE RESÍDUOS URBANA</t>
  </si>
  <si>
    <t>RESUMO COLETA DE RESÍDUOS RURAL (DISTRITOS)</t>
  </si>
  <si>
    <t>COLETA DE RESÍDUOS SÓLIDOS URBANOS - ZONA URBANA</t>
  </si>
  <si>
    <t>COLETA DE RESÍDUOS SÓLIDOS URBANOS - RURAL/DISTRITOS</t>
  </si>
  <si>
    <t>Quarta</t>
  </si>
  <si>
    <t>Terça</t>
  </si>
  <si>
    <t>Sábado</t>
  </si>
  <si>
    <t>COLETA DE RSU RURAL/DISTRITOS</t>
  </si>
  <si>
    <t>Disponível em: https://precos.petrobras.com.br/w/gasolina/mg</t>
  </si>
  <si>
    <t>Barreiro dos Veados</t>
  </si>
  <si>
    <t>Andréquicé</t>
  </si>
  <si>
    <t>Galena</t>
  </si>
  <si>
    <t>Aldeia Xucuru Kariri</t>
  </si>
  <si>
    <t>Vargem Grande</t>
  </si>
  <si>
    <t>Taboca</t>
  </si>
  <si>
    <t>Cruzeiro da Prata</t>
  </si>
  <si>
    <t>Bela Vista</t>
  </si>
  <si>
    <t>Ponte Firme</t>
  </si>
  <si>
    <t>Rota Aldeia à Galena=</t>
  </si>
  <si>
    <t>Rota Andrequicé à Galena=</t>
  </si>
  <si>
    <t>Rota Galena à Usina=</t>
  </si>
  <si>
    <t>Rota Presidente Olegário à Barreiro=</t>
  </si>
  <si>
    <t>Rota Barreiro à Andrequicé=</t>
  </si>
  <si>
    <t>Rota Santiago à Chacaras Cachoeira à Usina (ida e volta) =</t>
  </si>
  <si>
    <t>Rota Vargem Grande à Usina (ida e volta)=</t>
  </si>
  <si>
    <t>Rota Taboca à Cruzeiro da Prata=</t>
  </si>
  <si>
    <t>Rota Cruzeiro da Prata à Usina=</t>
  </si>
  <si>
    <t>Rota Presidente Olegário à Taboca=</t>
  </si>
  <si>
    <t>Rota Bela Vista à Ponte Firme à Usina (Ida e volta)=</t>
  </si>
  <si>
    <t>Km</t>
  </si>
  <si>
    <t>Bairro Bela Vista</t>
  </si>
  <si>
    <t>Bairro Industrial</t>
  </si>
  <si>
    <t>Bairro Santa Maria</t>
  </si>
  <si>
    <t>Bairro Ibiza</t>
  </si>
  <si>
    <t>Bairro Sobradinho</t>
  </si>
  <si>
    <t>Mateus Caixeta</t>
  </si>
  <si>
    <t>Américo Caetano</t>
  </si>
  <si>
    <t>Andorinhas Andrezina Pinheiro</t>
  </si>
  <si>
    <t>Andorinhas</t>
  </si>
  <si>
    <t>Dona Benta</t>
  </si>
  <si>
    <t>Bairro Barro Preto</t>
  </si>
  <si>
    <t>Aleixo Araújo Leste</t>
  </si>
  <si>
    <t>Aleixo Araújo Oeste</t>
  </si>
  <si>
    <t>Juca mendes</t>
  </si>
  <si>
    <t>Santa Rita</t>
  </si>
  <si>
    <t>Planalto</t>
  </si>
  <si>
    <t>Aeroporto</t>
  </si>
  <si>
    <t>Saltador</t>
  </si>
  <si>
    <t>(m) total</t>
  </si>
  <si>
    <t>(km) total</t>
  </si>
  <si>
    <t>km/rota</t>
  </si>
  <si>
    <t xml:space="preserve">Rota </t>
  </si>
  <si>
    <t>População (IBGE-2025)</t>
  </si>
  <si>
    <t>toneladas/dia</t>
  </si>
  <si>
    <t>Rural</t>
  </si>
  <si>
    <t xml:space="preserve">Segunda </t>
  </si>
  <si>
    <t>Quinta</t>
  </si>
  <si>
    <t>Sexta</t>
  </si>
  <si>
    <t>Caminhão</t>
  </si>
  <si>
    <t>Carga</t>
  </si>
  <si>
    <t>Urbana/Rural</t>
  </si>
  <si>
    <t>Urbano</t>
  </si>
  <si>
    <t>Andrequicé/Barreiro/Galena/Aldeia</t>
  </si>
  <si>
    <t>Duração</t>
  </si>
  <si>
    <t>Santiago</t>
  </si>
  <si>
    <t>Taboca/Cruzeiro</t>
  </si>
  <si>
    <t>Bela Vista/Ponte Firme</t>
  </si>
  <si>
    <t>KM INT.</t>
  </si>
  <si>
    <t>Hor. de Inicio da Coleta</t>
  </si>
  <si>
    <t>Hor. de Final da Coleta</t>
  </si>
  <si>
    <t>un.</t>
  </si>
  <si>
    <t>Custo unitário R$/mês</t>
  </si>
  <si>
    <t>Tempo coleta interna</t>
  </si>
  <si>
    <t>Tempo Total da rota</t>
  </si>
  <si>
    <t>https://www.ibraop.org.br/wp-content/uploads/2018/12/PROC-IBR-RSU-002-2017-An%C3%A1lise-do-dimensionamento-da-frota-do-Servi%C3%A7o-de-Coleta-de-RSD.pdf</t>
  </si>
  <si>
    <t>5 a 10 k/h</t>
  </si>
  <si>
    <t>7km/h</t>
  </si>
  <si>
    <t>Ibraop</t>
  </si>
  <si>
    <t>Tempo acesso a coleta int.ou usina</t>
  </si>
  <si>
    <t>KM. Acesso (Ida e Volta)</t>
  </si>
  <si>
    <t>Preço total mensal c/BDI --- R$/mês</t>
  </si>
  <si>
    <t>Preço total anual com BDI - R$/12 meses</t>
  </si>
  <si>
    <t>Valor total</t>
  </si>
  <si>
    <t xml:space="preserve">Insalubridade-G.Máximo </t>
  </si>
  <si>
    <t>Disponível em: https://www.bcb.gov.br/estabilidadefinanceira/selicdadosdiarios</t>
  </si>
  <si>
    <t>ENGENHEIRO CIVIL DE OBRA PLENO COM ENCARGOS COMPLEMENTARES</t>
  </si>
  <si>
    <t>CURSO DE CAPACITAÇÃO PARA ENGENHEIRO CIVIL DE OBRA PLENO (ENCARGOS COMPLEMENTARES) - HORISTA</t>
  </si>
  <si>
    <t>EPI - FAMILIA ENGENHEIRO CIVIL - HORISTA (ENCARGOS COMPLEMENTARES - COLETADO CAIXA)</t>
  </si>
  <si>
    <t>FERRAMENTAS - FAMILIA ENGENHEIRO CIVIL - HORISTA (ENCARGOS COMPLEMENTARES - COLETADO CAIXA)</t>
  </si>
  <si>
    <t>SEGURO - HORISTA (COLETADO CAIXA - ENCARGOS COMPLEMENTARES)</t>
  </si>
  <si>
    <t>EXAMES - HORISTA (COLETADO CAIXA - ENCARGOS COMPLEMENTARES)</t>
  </si>
  <si>
    <t>ALIMENTACAO - HORISTA (COLETADO CAIXA - ENCARGOS COMPLEMENTARES)</t>
  </si>
  <si>
    <t>ENGENHEIRO CIVIL DE OBRA PLENO (HORISTA)</t>
  </si>
  <si>
    <t>COMPOSICAO</t>
  </si>
  <si>
    <t>Código</t>
  </si>
  <si>
    <t>Tipo Item</t>
  </si>
  <si>
    <t>Quantidade de dias no mês</t>
  </si>
  <si>
    <t>ENGENHEIRO CIVIL PLENO (SINAPI- REFERÊNCIA 01/2026 MG - 90778)</t>
  </si>
  <si>
    <t>Custo</t>
  </si>
  <si>
    <t xml:space="preserve">Para efeitos de cálculo foram considerados o valor do engenheiro civil horista com 2 horas de trabalho por dia, de segunda a sexta com base na planilha de preços referenciais do SINAPI. </t>
  </si>
  <si>
    <t>Coef.</t>
  </si>
  <si>
    <t>TOTAL CUSTO POR HORA</t>
  </si>
  <si>
    <t>OBRA: COLETA DE RSU</t>
  </si>
  <si>
    <t>Preço Total c/BDI</t>
  </si>
  <si>
    <t>Preço Unitário Mensal c/BDI</t>
  </si>
  <si>
    <t>MÃO DE OBRA</t>
  </si>
  <si>
    <t>VALOR TOTAL MENSAL</t>
  </si>
  <si>
    <t>GARI COLETOR NOTURNO (CCT MG000017/2026) - 02:00 ÀS 10:20</t>
  </si>
  <si>
    <t>GARI COLETOR DIURNO (CCT MG000017/2026)</t>
  </si>
  <si>
    <t>MOTORISTA DIURNO (CCT MG000982/2026)</t>
  </si>
  <si>
    <t>MOTORISTA NOTURNO (CCT MG000982/2026)</t>
  </si>
  <si>
    <t>MOTORISTA ENCARREGADO (CCT MG000982/2026)</t>
  </si>
  <si>
    <t>ASSISTENTE ADMINISTRATIVO (CCT MG000495/2026)</t>
  </si>
  <si>
    <t>Quantidade de horas por dia trabalhados</t>
  </si>
  <si>
    <t>Valor Total do contrato 
(12 meses)</t>
  </si>
  <si>
    <t>PROC</t>
  </si>
  <si>
    <t>ITEM</t>
  </si>
  <si>
    <t>VARIÁVEL</t>
  </si>
  <si>
    <t xml:space="preserve">VALOR </t>
  </si>
  <si>
    <t>Valor de aquisição do veículo e caçamba
 (VA) =</t>
  </si>
  <si>
    <t>Caminhão (chassi)</t>
  </si>
  <si>
    <t>R$</t>
  </si>
  <si>
    <t>Caçamba (14m³)</t>
  </si>
  <si>
    <t>Valor residual (VR) =</t>
  </si>
  <si>
    <t xml:space="preserve">Adotou-se para o cálculo do valor residual o percentual de
(20%) dentre o intervalo proposto pelo IBRAOP. (A Unidade Técnica poderá
considerar para o valor residual um percentual entre 20 a 35%). </t>
  </si>
  <si>
    <t>Percentual de 20%</t>
  </si>
  <si>
    <t>Vida útil (VU) meses =</t>
  </si>
  <si>
    <t>meses</t>
  </si>
  <si>
    <t>Adotou-se uma vida útil de 10 anos para o caminhão basculante de 14 m³</t>
  </si>
  <si>
    <t>Custo de depreciação mensal
(D) =</t>
  </si>
  <si>
    <t>R$/mês</t>
  </si>
  <si>
    <t>Depreciação linear, conforme a fórmula a seguir:
D = (VA – VR) / VU</t>
  </si>
  <si>
    <t>Anos de uso =</t>
  </si>
  <si>
    <t>caminhão
(chassis)</t>
  </si>
  <si>
    <t>anos</t>
  </si>
  <si>
    <t>Tendo em vista que os chassis cotados pela Administração foram modelos do ano 2017 e a data base do orçamento foi de 06/04/2026, considerou-se como valor inicial do bem o valor de aquisição cotado pela FIPE descontado da depreciação de 9 anos de uso. Como a vida útil prevista é de 10 anos, para um equipamento já com 9 ano de uso, deverá ser utilizado o t (tempo restante de vida útil) de 1 anos.</t>
  </si>
  <si>
    <t>Valor inicial do bem (V0) =</t>
  </si>
  <si>
    <t>Tempo restante de vida útil (t) =</t>
  </si>
  <si>
    <t>Investimento médio (Im) =</t>
  </si>
  <si>
    <t>Im = [(V0 - VR) * (t + 1) / 2t] + VR</t>
  </si>
  <si>
    <t>Taxa de juros do mercado ao ano (i) =</t>
  </si>
  <si>
    <t>% a.a</t>
  </si>
  <si>
    <t>Taxa Selic atual: https://www.bcb.gov.br/estabilidadefinanceira/selicdadosdiarios</t>
  </si>
  <si>
    <t>Remuneração de capital mensal (Jm) =</t>
  </si>
  <si>
    <t>Jm = Im * i / 12</t>
  </si>
  <si>
    <t>Alíquota do IPVA estabelecida
na legislação estadual (a) =</t>
  </si>
  <si>
    <t>%</t>
  </si>
  <si>
    <t>Valor IPVA MG:
1% para caminhões, ônibus e micro-ônibus; (https://www.fazenda.mg.gov.br/empresas/impostos/ipva/calculo.html)</t>
  </si>
  <si>
    <t>Valor do bem de acordo com a
legislação estadual (Vbem) =</t>
  </si>
  <si>
    <t>IPVA = a * Vbem / 12</t>
  </si>
  <si>
    <t xml:space="preserve">Valor do IPVA (IPVA) = </t>
  </si>
  <si>
    <t xml:space="preserve">DPVAT = </t>
  </si>
  <si>
    <t>R$/ano</t>
  </si>
  <si>
    <t>O Seguro DPVAT não foi cobrado para os exercícios de 2021, 2022, 2023, 2024 e 2026</t>
  </si>
  <si>
    <t>CRVL =</t>
  </si>
  <si>
    <t>Taxa de Licenciamento Anual 2026 202https://www.fazenda.mg.gov.br/empresas/taxas/taxa_licenciamento/</t>
  </si>
  <si>
    <t>Seguro contra terceiros =</t>
  </si>
  <si>
    <t>Licenciamento de veículos =</t>
  </si>
  <si>
    <t>Licenciamento de veículos = IPVA + DPVAT + CRVL + Seguro contra
terceiros</t>
  </si>
  <si>
    <t>Consumo Médio (CM)=</t>
  </si>
  <si>
    <t>Caminhão (Rota de Coleta)</t>
  </si>
  <si>
    <t>L/km</t>
  </si>
  <si>
    <t>Para verificação do consumo médio do caminhão, deve-se observar o tipo do caminhão (toco e trucado) e as características das rotas de coleta, como declividades, condições do asfalto, velocidade do caminhão entre outros fatores considerados no dimensionamento que podem impactar diretamente no consumo médio. Considera-se aceitável a faixa de consumo médio entre 0,3 a 0,5L/km, tendo sido adotado para este preço paradigma o valor mais conservador do intervalo.</t>
  </si>
  <si>
    <t>Caminhão (Rota de trajeto à Usina de Reciclagem e ao Centro de Massa)</t>
  </si>
  <si>
    <t>Preço do combustível (PO) =</t>
  </si>
  <si>
    <t>diesel</t>
  </si>
  <si>
    <t>R$/L</t>
  </si>
  <si>
    <t>Custo com combustível por km
(CCB) =</t>
  </si>
  <si>
    <t>R$/km</t>
  </si>
  <si>
    <t>CCB = CM * PO                                                                                         Onde: CM - Consumo médio; PO - Preço do combustível</t>
  </si>
  <si>
    <t>Distância percorrida no mês
(DP) =</t>
  </si>
  <si>
    <t>Custo com combustível mensal
(CCM) =</t>
  </si>
  <si>
    <t xml:space="preserve">CCM = CCB * DP </t>
  </si>
  <si>
    <t>Custos com lubrificação (CL) =</t>
  </si>
  <si>
    <t>CL = CCM * 0,10</t>
  </si>
  <si>
    <t>Preço do pneu novo (P) =</t>
  </si>
  <si>
    <t>Preço da câmara nova (C) =</t>
  </si>
  <si>
    <t>Preço do protetor novo (PP) =</t>
  </si>
  <si>
    <t xml:space="preserve">unid. </t>
  </si>
  <si>
    <t>Número total de pneus do
veículo e do equipamento (NP) =</t>
  </si>
  <si>
    <t>O número de pneus em caminhões “toco” e “truck” são respectivamente 6 e
10.</t>
  </si>
  <si>
    <t>Preço da recauchutagem (R) =</t>
  </si>
  <si>
    <t>Vida útil do pneu novo (VUN) =</t>
  </si>
  <si>
    <t>Vida útil do pneu com
recauchutagem (VUR) =</t>
  </si>
  <si>
    <t>Preço de pneus e
recauchutagem por quilômetro
rodado (CR) =</t>
  </si>
  <si>
    <t>R$/Km</t>
  </si>
  <si>
    <t>CR = {[1,2 * (P + C + PP) * NP] + (R * NP)} / (VUN + VUR)</t>
  </si>
  <si>
    <t>Quilometragem rodada no mês
(QRM) =</t>
  </si>
  <si>
    <t>Km/mês</t>
  </si>
  <si>
    <t>Preço mensal de pneus e
recauchutagem (CPR) =</t>
  </si>
  <si>
    <t>CPR = QRM * CR</t>
  </si>
  <si>
    <t>Valor de aquisição do veículo
novo com equipamento de carga
e sem pneu (VA) =</t>
  </si>
  <si>
    <t>Coeficiente de manutenção (k) =</t>
  </si>
  <si>
    <t>Custo com manutenção (M) =</t>
  </si>
  <si>
    <t xml:space="preserve">CFE = D + Jm + Licenciamento de veículos </t>
  </si>
  <si>
    <t>Custos variáveis com veículos
dos serviços de coleta de RSD
(CVE) =</t>
  </si>
  <si>
    <t xml:space="preserve"> CVE = CCM + CL + CPR + M</t>
  </si>
  <si>
    <t>CUSTO TOTAL COM EQUIPAMENTO E VEÍCULOS</t>
  </si>
  <si>
    <t>Como a Usina de Reciclagem encontra-se muito das rotas de coleta, adotou-se, de forma conservadora, toda a extensão percorrida como dentro da rota de coleta (condição em que o consumo de combustível é maior).</t>
  </si>
  <si>
    <t>3.3.
Pneus e
recauchutagem</t>
  </si>
  <si>
    <t xml:space="preserve">3.2. Óleos, filtros e
lubrificantes </t>
  </si>
  <si>
    <t>3.1. Combustível</t>
  </si>
  <si>
    <t>3.1. Custo de Depreciação do Veículo</t>
  </si>
  <si>
    <t>3.2. Remuneração de capital</t>
  </si>
  <si>
    <t>3.3. Licenciamento
de veículos</t>
  </si>
  <si>
    <t>3.4. Manutenção</t>
  </si>
  <si>
    <t>Custos fixos com veículos dos serviços de coleta de RSD (CFE) =</t>
  </si>
  <si>
    <t>Caso a Unidade Técnica não consiga obter as séries históricas de custos de manutenção com os veículos e equipamentos de coleta de RSD, descritos no item acima, deverá ser utilizada a seguinte fórmula: M = (VA * k) / VU. A Unidade Técnica deverá se atentar que, para esse item, poderá ser utilizado o fator de redução proporcional ao tempo de utilização no caso de
veículos sem dedicação exclusiva. Essa situação poderá acontecer, em especial, em municípios de pequeno porte e próximos entre si. No caso
concreto, houve a previsão de aproveitamento dos caminhões em dois turnos, então não se aplica.</t>
  </si>
  <si>
    <t xml:space="preserve">Para definição do coeficiente de manutenção (k), a Unidade Técnica utilizou os coeficientes de manutenção de equipamentos utilizados pelo Sicro (Sistemas de Custos Rodoviários – DNIT). </t>
  </si>
  <si>
    <t>O valor do caminhão (chassi + caçamba) foi obtido a partir da cotação da Tabela FIPE e do indicado no PROC-IBR-RSU 004/2017 – Análise de Orçamento do Serviço de Coleta de RSD - Custos Fixos de Veículos e Equipamentos. Foi descontado o valor dos pneus para o cálculo da manutenção, já que seu reparo está previsto no item 3.3 - Pneus e recauchutagem.</t>
  </si>
  <si>
    <t>Como parâmetro de auditoria desses contratos, utiliza-se atualmente um ciclo completo de 50.000 Km sendo 30.000 Km a vida útil de um jogo de pneus novos (VUN) e 20.000 Km a vida útil de um jogo de pneus recauchutados (VUR). A Resolução 158/2004 do Conselho Nacional de Trânsito (Contran) proíbe o
uso de pneus reformados em veículos automotores de duas ou três rodas.</t>
  </si>
  <si>
    <t>Disponível em: https://www.gov.br/anp/pt-br/assuntos/precos-e-defesa-da-concorrencia/precos/levantamento-de-precos-de-combustiveis-ultimas-semanas-pesquisadas</t>
  </si>
  <si>
    <t>Caminhão (Rota de Coleta interna)</t>
  </si>
  <si>
    <t>O preço do combustível pode ser consultado no site da Agência Nacional de Petróleo – ANP, que
possibilita a busca por Estado e por municípios. O valor adotado no orçamento de referência foi referente à média Minas Gerais/Belo Horizonte em abril. Adotou-se para o cálculo paradigma o valor do custo no período atual (29/03 a 04/04/2026).</t>
  </si>
  <si>
    <t>As distâncias percorridas mensalmente foram obtidas a partir do somátório de rotas para cada comunidade, conforme mapa do município.</t>
  </si>
  <si>
    <t>As distâncias percorridas mensalmente foram obtidas a partir do somátório de rotas de acesso às comunidades até a usina de reciclagem, conforme mapa do município.</t>
  </si>
  <si>
    <t>A distância percorrida mensalmente foi obtida a partir do somátório de rotas que cada caminhão irá realizar, conforme mapa do município. Como será 2 caminhões dividiu-se as distâncias totais por 2, já que cada caminhão fará a metade de toda a rota de coleta</t>
  </si>
  <si>
    <t>Preço total c/ BDI R$/mês</t>
  </si>
  <si>
    <t>Custo total = (CFE + CVE)/QRM</t>
  </si>
  <si>
    <t>Caminhão (Trajetos da rota de acesso à coleta interna dos povoados até a usina de reciclagem)</t>
  </si>
  <si>
    <t xml:space="preserve">Segundo o IBRAOP, "quando o dimensionamento das rotas discriminar o trajeto para o aterro sanitário ou transbordo, bem como o trajeto até a garagem, deve-se utilizar o consumo médio em torno 0,2L/km. Nestes casos, para o consumo nas rotas de coleta, deve-se utilizar o consumo médio em torno de 0,6L/km." Porém, considerando que o trajeto até as comunidades envolve trechos de estradas rurais e trechos montanhosos, adotou-se um consumo médio de 0,4 L/Km para as rotas de acesso às comunidades e de 0,6 L/Km conforme recomendado para as rotas internas de coleta. </t>
  </si>
  <si>
    <t>Custo total R$/mês</t>
  </si>
  <si>
    <t>GARI COLETOR NOTURNO - RESERVA TÉCNICA</t>
  </si>
  <si>
    <t>MOTORISTA ENCARREGADO RESERVA TÉCNICA</t>
  </si>
  <si>
    <t>GARI COLETOR DIURNO - RESERVA TÉCNICA</t>
  </si>
  <si>
    <r>
      <rPr>
        <b/>
        <sz val="11"/>
        <color theme="1"/>
        <rFont val="Calibri"/>
        <family val="2"/>
      </rPr>
      <t>Observações</t>
    </r>
    <r>
      <rPr>
        <sz val="11"/>
        <color theme="1"/>
        <rFont val="Calibri"/>
        <family val="2"/>
      </rPr>
      <t>: Seguindo as orientações do IBRAOP, especificamente da PROC-IBR-RSU 006/2017
Análise de Orçamento do Serviço de Coleta de RSD – Custos de
Equipes de Coleta, a reserva técnica foi adotada na composição de custo da equipe, utilizando-se um percentual de 2,5 %, incidindo sobre o somatório da remuneração, dos encargos sociais e trabalhistas e dos insumo de mão de obra, conforme Acórdãos AC 1753/2008 E AC 3092/2010 DO TCU. Deve-se atentar que o provisionado para cobrir faltas, férias, aviso prévio e demais substituições dos
empregados habituais que executam o contrato já integram o percentual de encargos sociais e
trabalhistas.</t>
    </r>
  </si>
  <si>
    <t xml:space="preserve">SUPERVISOR E MOTORISTA </t>
  </si>
  <si>
    <t>Caminhões basculantes (diurno e noturno)</t>
  </si>
  <si>
    <t>Caminhão reserva</t>
  </si>
  <si>
    <t>Garis coletores</t>
  </si>
  <si>
    <t>Motoristas</t>
  </si>
  <si>
    <t>DADOS TÉCNICOS</t>
  </si>
  <si>
    <t>Quant.</t>
  </si>
  <si>
    <t>Observações</t>
  </si>
  <si>
    <t>População estimada (IBGE-2025) - https://www.ibge.gov.br/cidades-e-estados/mg/presidente-olegario.html</t>
  </si>
  <si>
    <t>SUPERVISOR GERAL (CCT MG000495/2026)</t>
  </si>
  <si>
    <t>CUSTO UNITÁRIO TOTAL COM EQUIPAMENTO E VEÍCULOS</t>
  </si>
  <si>
    <t>CÁLCULO DO CUSTO DO CAMINHÃO BASCULANTE URBANO</t>
  </si>
  <si>
    <t>Custos fixos com veículo do serviço de coleta de RSD (CFE) =</t>
  </si>
  <si>
    <t>Licenciamento do veículo =</t>
  </si>
  <si>
    <t>Custos variáveis com o veículo
do serviço de coleta de RSD
(CVE) =</t>
  </si>
  <si>
    <r>
      <rPr>
        <b/>
        <sz val="11"/>
        <color theme="1"/>
        <rFont val="Calibri"/>
        <family val="2"/>
      </rPr>
      <t>PROC-IBR-RSU</t>
    </r>
    <r>
      <rPr>
        <sz val="11"/>
        <color theme="1"/>
        <rFont val="Calibri"/>
        <family val="2"/>
      </rPr>
      <t xml:space="preserve"> 004/2017 Análise do Orçamento da Coleta Domiciliar – custos fixos de veículos e equipamentos</t>
    </r>
  </si>
  <si>
    <r>
      <rPr>
        <b/>
        <sz val="11"/>
        <color theme="1"/>
        <rFont val="Calibri"/>
        <family val="2"/>
      </rPr>
      <t xml:space="preserve">PROC-IBR-RSU
005/2017 - </t>
    </r>
    <r>
      <rPr>
        <sz val="11"/>
        <color theme="1"/>
        <rFont val="Calibri"/>
        <family val="2"/>
      </rPr>
      <t>Análise
do Orçamento
da Coleta
Domiciliar –
custos variáveis
de veículos e
equipamentos</t>
    </r>
  </si>
  <si>
    <t>Custo total  = (CFE + CVE) * (1+10% reserva técnica)</t>
  </si>
  <si>
    <t>Custo total = (CFE + CVE) *(1+10% reserva técnica)</t>
  </si>
  <si>
    <t>Un.</t>
  </si>
  <si>
    <t>Volume do caminhão basculante = V</t>
  </si>
  <si>
    <t>Densidade dos resíduos soltos = P</t>
  </si>
  <si>
    <t>Aproveitamento da caçamba  = IC</t>
  </si>
  <si>
    <t>IBRAOP - PROC-IBR-RSU 002/2017 - Análise do Dimensionamento da Frota do Serviço de Coleta de
RSD</t>
  </si>
  <si>
    <t>Densidade de Lixo Não Compactado ton/m³:</t>
  </si>
  <si>
    <t>Peso específico aparente dos resíduos a serem coletados (ton/m³), da ordem de 0,2 a 0,3 ton/m³; - Valor adotado de 0,23 ton/m³ - PROC-IBR-RSU-002-2018</t>
  </si>
  <si>
    <t>Peso diário em k/hab.dia /1000</t>
  </si>
  <si>
    <t>População de área urbana * Geração de lixo per capita</t>
  </si>
  <si>
    <t>Q = (i * Pop * 30,42) / 1000  - PROC-IBR-RSU 001-2017</t>
  </si>
  <si>
    <t>População da área urbana = Pop</t>
  </si>
  <si>
    <t>Geração de lixo per capita = i</t>
  </si>
  <si>
    <t xml:space="preserve">km </t>
  </si>
  <si>
    <t>Dados da planilha de setorização</t>
  </si>
  <si>
    <t>Percurso estimado total</t>
  </si>
  <si>
    <t>Dado retirados através do Maps</t>
  </si>
  <si>
    <t>Percurso até a usina de reciclagem * 2 (Ida e Volta)</t>
  </si>
  <si>
    <t xml:space="preserve">Aproveitamento da caçamba  </t>
  </si>
  <si>
    <t>C = P * IC * V * Aproveitamento da caçamba</t>
  </si>
  <si>
    <t>Peso diário = Qs</t>
  </si>
  <si>
    <t>Capacidade efetiva do veículo = C</t>
  </si>
  <si>
    <t>Quantidade de viagens por dia = Nv</t>
  </si>
  <si>
    <t>Quantidade de caminhões calculado = Nf</t>
  </si>
  <si>
    <t>Percurso estimado total / quantidade de caminhões</t>
  </si>
  <si>
    <t>Pickup</t>
  </si>
  <si>
    <t>Pickup (Rota de Gerenciamento)</t>
  </si>
  <si>
    <t>Adotou-se uma vida útil de 5 anos para o caminhão basculante de 14 m³</t>
  </si>
  <si>
    <t>Tendo em vista que o modelo cotado pela Administração foi do ano 2022 e a data base do orçamento foi de 08/04/2026, considerou-se como valor inicial do bem o valor de aquisição cotado pela FIPE descontado da depreciação de 4 anos de uso. Como a vida útil prevista é de 5 anos, para um equipamento já com 4 ano de uso, deverá ser utilizado o t (tempo restante de vida útil) de 1 anos.</t>
  </si>
  <si>
    <t>Valor IPVA MG:
4% 	Automóveis, veículos de uso misto e utilitários, caminhonetes cabine estendida e dupla.; (https://www.fazenda.mg.gov.br/empresas/impostos/ipva/calculo.html)</t>
  </si>
  <si>
    <t>Foi considerada a base de dados da FIPE, considerando a data base do
orçamento (tabela de abril de 2026), para a obtenção do custo de
aquisição do modelo que a Administração adotou: 	
Strada Endurance 1.4 Flex 8V CS Plus (2022), em consonância ao que determina o Art. 23 da Lei
14.133/2021.</t>
  </si>
  <si>
    <t>Valor de 4,5% sobre o valor da tabela FIPE, conforme cotação realizada pelo site https://meuseguromaisbarato.com.br/seguro-de-carro/marca/fiat/strada/2021/strada-endurance-1-4-flex-8v-cs-plus</t>
  </si>
  <si>
    <t>Valor de aquisição do veículo 
 (VA) =</t>
  </si>
  <si>
    <t>Adotou-se um consumo de médio de 0,1 L/Km</t>
  </si>
  <si>
    <t>Gasolina</t>
  </si>
  <si>
    <t xml:space="preserve">Considerou-se uma distancia média de 40 Km percorridos diariamente * 26 dias de trabalho </t>
  </si>
  <si>
    <t>O preço dos pneus, foi obtido por meio de pesquisa de preços na internet.</t>
  </si>
  <si>
    <t>O número de pneus para pickup é 4 unidades</t>
  </si>
  <si>
    <t>Como parâmetro de auditoria desses contratos, utiliza-se atualmente um ciclo completo de 50.000 Km sendo 30.000 Km a vida útil de um jogo de pneus novos (VUN) e 20.000 Km a vida útil de um jogo de pneus recauchutados (VUR). Não foi considerado a recauchutagem nesta composição</t>
  </si>
  <si>
    <t>CR = {[1,2 * (P ) * NP]} / (VUN)</t>
  </si>
  <si>
    <t>Preço de pneus e
por quilômetro
rodado (CR) =</t>
  </si>
  <si>
    <t>Preço mensal de pneus  (CP) =</t>
  </si>
  <si>
    <t>CP = QRM * CR</t>
  </si>
  <si>
    <t>Valor de aquisição do veículo
novo
e sem pneu (VA) =</t>
  </si>
  <si>
    <t xml:space="preserve">Custo total = (CFE + CVE) </t>
  </si>
  <si>
    <t>Custos fixos com veículo de apoio (CFE) =</t>
  </si>
  <si>
    <t>Custos variáveis com o veículo
de apoio (CVE) =</t>
  </si>
  <si>
    <t>CUSTO TOTAL COM O VEÍCULO DE APOIO</t>
  </si>
  <si>
    <t>SUPERVISOR GERAL</t>
  </si>
  <si>
    <t>Supervisor Geral</t>
  </si>
  <si>
    <t xml:space="preserve">Adotou-se para o cálculo do valor residual o percentual de
(35%) dentre o intervalo proposto pelo IBRAOP. (A Unidade Técnica poderá
considerar para o valor residual um percentual entre 20 a 35%). </t>
  </si>
  <si>
    <t xml:space="preserve"> Leste A</t>
  </si>
  <si>
    <t xml:space="preserve"> Oeste A</t>
  </si>
  <si>
    <t>Leste B</t>
  </si>
  <si>
    <t>Oeste B</t>
  </si>
  <si>
    <t>CÁLCULOS PARA COMPOSIÇÃO</t>
  </si>
  <si>
    <t xml:space="preserve">GARI COLETOR </t>
  </si>
  <si>
    <t>Leste A</t>
  </si>
  <si>
    <t xml:space="preserve">Oeste B </t>
  </si>
  <si>
    <t>Centro e Aeroporto</t>
  </si>
  <si>
    <t>Dona Benta, Andorinhas, Américo Caetano, Mateus Caixeta</t>
  </si>
  <si>
    <t>Juca Mendes, Santa Rita, Planalto e Saltador</t>
  </si>
  <si>
    <t xml:space="preserve">Barro Preto, Aleixo Araújo, Sobradinho, Industrial, Santa Maria, Ibiza, Bela Vista </t>
  </si>
  <si>
    <t>1 motorista para cada caminhão</t>
  </si>
  <si>
    <t>Considerou-se 3 garis coletores para cada camimhão</t>
  </si>
  <si>
    <t>Reseva de Gari Coletor</t>
  </si>
  <si>
    <t>Reserva de Motorista</t>
  </si>
  <si>
    <t>Considerou-se 1 unidade reserva para cada equipe de gari coletor</t>
  </si>
  <si>
    <t>Considerou-se 1 unidades reserva para motorista</t>
  </si>
  <si>
    <t>Nv=Qs/C (Considerar o valor final arredondando para cima para próximo número inteiro)</t>
  </si>
  <si>
    <t>Nf=(Qs/C*Nv)*Ff  (Considerar o valor final arredondando para cima para próximo número inteiro)</t>
  </si>
  <si>
    <t xml:space="preserve"> Setor Leste A</t>
  </si>
  <si>
    <t>Setor Oeste A</t>
  </si>
  <si>
    <t>Setor Oeste B</t>
  </si>
  <si>
    <t>Setor Leste B</t>
  </si>
  <si>
    <t>Percurso do centro até a usina de reciclagem</t>
  </si>
  <si>
    <t>Percurso do centro até usina de reciclagem (ida e volta)</t>
  </si>
  <si>
    <t>Índice de Compactação, usualmente igual a 3 para compactadores e 1 para caçamba;</t>
  </si>
  <si>
    <t>Adotou-se um aproveitamento próximo de 70%</t>
  </si>
  <si>
    <t>Conforme cálculo Nf com arredodamento para o prximo número inteiro</t>
  </si>
  <si>
    <t>1 unidade para cada caminhão</t>
  </si>
  <si>
    <t xml:space="preserve">Medidas conforme Mapa </t>
  </si>
  <si>
    <t>População total (IBGE-2025)</t>
  </si>
  <si>
    <t>DIMENSIONAMENTO - COLETA RURAL (DISTRITOS)</t>
  </si>
  <si>
    <t>Considerou-se 2 garis coletores para cada camimhão na área rural</t>
  </si>
  <si>
    <t xml:space="preserve">Considerou-se 1 unidade reserva para cada equipe de gari coletor </t>
  </si>
  <si>
    <t>Variável (planilha)</t>
  </si>
  <si>
    <t>Percurso estimado total por caminhão no mês</t>
  </si>
  <si>
    <t>População de área urbana em kg/hab.dia  * Geração de lixo per capita em /1000</t>
  </si>
  <si>
    <t>Rota/Dia de Coleta</t>
  </si>
  <si>
    <t>Rota 01 / Segunda</t>
  </si>
  <si>
    <t>Rota 02 / Terça</t>
  </si>
  <si>
    <t>Caminhão (Trajetos da rota de acesso às comunidades até a usina de reciclagem)</t>
  </si>
  <si>
    <t>Deslocamento de acesso às comuidades (Km/dia)</t>
  </si>
  <si>
    <t>Deslocamento Interno (km/dia)</t>
  </si>
  <si>
    <t>Deslocamento Mensal (Km/mês)</t>
  </si>
  <si>
    <t>DESLOCAMENTO MENSAL TOTAL (KM/MÊS):</t>
  </si>
  <si>
    <t>População estimada (habitantes)</t>
  </si>
  <si>
    <t>Geração RSU per capita/dia (KG/hab./dia)</t>
  </si>
  <si>
    <t>kg/hab./dia</t>
  </si>
  <si>
    <t>Adotado 0,40 kg/hab./dia, considerando que o lixo domiciliar na área rural é menor que o urbano</t>
  </si>
  <si>
    <t>PROC-IBR-RSU 001-2017 ---&gt; Índice : 0,45 a 0,70 kg/hab.dia para municípios com menos de 200.000 habitantes - adotado 0,50 kg/hab./dia</t>
  </si>
  <si>
    <t>Rota 04 / Quinta</t>
  </si>
  <si>
    <t>Rota 05 / Sexta</t>
  </si>
  <si>
    <t>Rota 03 / Quarta</t>
  </si>
  <si>
    <t>Peso da coleta (ton/coleta)</t>
  </si>
  <si>
    <t xml:space="preserve">Adotou-se um aproveitamento próximo de 70% </t>
  </si>
  <si>
    <t>Peso mensal total da coleta rural</t>
  </si>
  <si>
    <t>Número de semanas no mês</t>
  </si>
  <si>
    <t>semanas/mês</t>
  </si>
  <si>
    <t>dias/ano</t>
  </si>
  <si>
    <t>Dias de Coleta</t>
  </si>
  <si>
    <t>RSU -Toneladas/rota</t>
  </si>
  <si>
    <t>Povoados/Distritos e Localidades</t>
  </si>
  <si>
    <t>Comprimento das rotas (km)</t>
  </si>
  <si>
    <t>Periodicidade de coleta (dias/semana)</t>
  </si>
  <si>
    <t>Distância do centro de massa (Garagem) ao setor de coleta -  (km)</t>
  </si>
  <si>
    <t>Distância do setor de coleta à usina de reciclagem (km)</t>
  </si>
  <si>
    <t>Idas à Usina de reciclagem</t>
  </si>
  <si>
    <t>Percurso total mensal (km/mês)</t>
  </si>
  <si>
    <t>DIMENSIONAMENTO- COLETA URBANA</t>
  </si>
  <si>
    <t>Dado obtido através do cadastro de pessoas das comunidades rurais repassados pela Secretaria de Saúde</t>
  </si>
  <si>
    <t>População estimada da área rural = Pop. Rural</t>
  </si>
  <si>
    <t>Dados da planilha de dimensionamento</t>
  </si>
  <si>
    <t>Considerou-se a partir da quantidade de lixo coletado por dia para cada rota</t>
  </si>
  <si>
    <t>toneladas/coleta</t>
  </si>
  <si>
    <t xml:space="preserve">Coletas por semana </t>
  </si>
  <si>
    <t>Peso diário (Qs) * 7 (quantidade de dias que houve geração de lixo)/quantidade de coletas por semana</t>
  </si>
  <si>
    <t>Peso da coleta = Qc</t>
  </si>
  <si>
    <t>Resumo da Equipe</t>
  </si>
  <si>
    <t>Transporte (2 caminhões)</t>
  </si>
  <si>
    <t>Mão de obra (2 equipes)</t>
  </si>
  <si>
    <t>Transporte (1 caminhão)</t>
  </si>
  <si>
    <t>Mão de obra (1 equipe)</t>
  </si>
  <si>
    <t>O preço dos pneus foi obtido por meio de  pesquisa de preços na internet. (Pneu sem câmara)</t>
  </si>
  <si>
    <t>Preço unitário c/ BDI R$/mês</t>
  </si>
  <si>
    <t>CÁLCULO DO CUSTO DO VEÍCULO DE APOIO</t>
  </si>
  <si>
    <t>Valor Unitário (R$)</t>
  </si>
  <si>
    <t>Valor mensal
com BDI
(R$/mês)</t>
  </si>
  <si>
    <t>Data:</t>
  </si>
  <si>
    <t>Bancos:</t>
  </si>
  <si>
    <t>Revisão:</t>
  </si>
  <si>
    <t>Tipo de Obra:</t>
  </si>
  <si>
    <t>Percentual de base de cálculo para o ISS:</t>
  </si>
  <si>
    <t>Alíquota do ISS:</t>
  </si>
  <si>
    <t>Itens</t>
  </si>
  <si>
    <t>Siglas</t>
  </si>
  <si>
    <t>Adotado (%)</t>
  </si>
  <si>
    <t>2º Quartil</t>
  </si>
  <si>
    <t>Administração Central</t>
  </si>
  <si>
    <t>AC</t>
  </si>
  <si>
    <t>Seguro e Garantia</t>
  </si>
  <si>
    <t>SG</t>
  </si>
  <si>
    <t>Risco</t>
  </si>
  <si>
    <t>R</t>
  </si>
  <si>
    <t>DF</t>
  </si>
  <si>
    <t>Lucro</t>
  </si>
  <si>
    <t>L</t>
  </si>
  <si>
    <t>Tributos (COFINS 3,00% e PIS 0,65%)</t>
  </si>
  <si>
    <t>CP</t>
  </si>
  <si>
    <t>Tributos (ISS para obras 3,00%)</t>
  </si>
  <si>
    <t>ISS</t>
  </si>
  <si>
    <t>Tributos (Sem Desoneração)</t>
  </si>
  <si>
    <t>CPRB</t>
  </si>
  <si>
    <t>BDI SEM DESONERAÇÃO</t>
  </si>
  <si>
    <t>O BDI desta planilha foi calculado conforme as diretrizes do Acórdão 2622/2013 - TCU, aplicável à tipologia construção de edifícios</t>
  </si>
  <si>
    <t>Fórmula:</t>
  </si>
  <si>
    <t>BDI=</t>
  </si>
  <si>
    <t>(1+AC+S+R+G)*(1+DF)*1+L)</t>
  </si>
  <si>
    <t>(1-CP-ISS-CPRB)</t>
  </si>
  <si>
    <t>COMPOSIÇÃO DO BDI - Bonificações e Despesas Indiretas
SEM DESONERAÇÃO
Secretaria Municipal de Obras e Serviços Públicos</t>
  </si>
  <si>
    <t>Serviço:</t>
  </si>
  <si>
    <t xml:space="preserve">Coleta de Resíduos Sólidos Urbanos </t>
  </si>
  <si>
    <t>SINAPI (01/2026) - CONVENÇÕES COLETIVAS DE TRABALHO 2026 - COTAÇÕES DE MERCADO</t>
  </si>
  <si>
    <t>CONSTRUÇÃO DE REDES DE ABASTECIMENTO DE ÁGUA, COLETA DE ESGOTO E CONSTRUÇÕES CORRELATAS</t>
  </si>
  <si>
    <t xml:space="preserve"> </t>
  </si>
  <si>
    <t>Somatório da rota de coleta interna + rota de acesso</t>
  </si>
  <si>
    <t>MEMÓRIA DE CÁLCULO REFERENCIAL</t>
  </si>
  <si>
    <t>OBSERVAÇÕES - LICITANTE</t>
  </si>
  <si>
    <t>Taxa de Licenciamento Anual 2026 https://www.fazenda.mg.gov.br/empresas/taxas/taxa_licenciamento/</t>
  </si>
  <si>
    <t>Para os custos de recauchutagens, foram consultados sites de prestadores destes serviços.
A Resolução 158/2004 do Conselho Nacional de Trânsito (Contran) proíbe o uso de pneus reformados em veículos automotores de duas ou três rodas.</t>
  </si>
  <si>
    <r>
      <rPr>
        <b/>
        <i/>
        <sz val="11"/>
        <color theme="1"/>
        <rFont val="Calibri"/>
        <family val="2"/>
      </rPr>
      <t>Responsáveis Técnicos:</t>
    </r>
    <r>
      <rPr>
        <i/>
        <sz val="11"/>
        <color theme="1"/>
        <rFont val="Calibri"/>
        <family val="2"/>
      </rPr>
      <t xml:space="preserve"> </t>
    </r>
  </si>
  <si>
    <t>Santiago de Minas e Chácaras Cachoeira</t>
  </si>
  <si>
    <t xml:space="preserve">PREFEITURA MUNICIPAL DE PRESIDENTE OLEGÁRIO-MG 
SECRETARIA MUNICIPAL DE OBRAS E SERVIÇOS PÚBLICOS
</t>
  </si>
  <si>
    <r>
      <rPr>
        <u/>
        <sz val="12"/>
        <rFont val="Calibri"/>
        <family val="2"/>
      </rPr>
      <t>OBJETO:</t>
    </r>
    <r>
      <rPr>
        <sz val="12"/>
        <rFont val="Calibri"/>
        <family val="2"/>
      </rPr>
      <t xml:space="preserve"> EXECUÇÃO DE SERVIÇOS CONTÍNUOS DE COLETA MANUAL E TRANSPORTE DE RESÍDUOS SÓLIDOS URBANOS DOMICILIARES E EQUIPARADOS, ABRANGENDO A ZONA URBANA, CHACREAMENTOS E DISTRITOS/POVOADOS DO MUNICÍPIO DE PRESIDENTE OLEGÁRIO/MG, INCLUINDO A ALDEIA INDÍGENA XUKURU KARIRI, COM DESTINAÇÃO NA USINA MUNICIPAL DE RECICLAGEM E COMPOSTAGEM LOCALIZADA NO BAIRRO AMÉRICO CAETANO.</t>
    </r>
  </si>
  <si>
    <t xml:space="preserve">ENCARGOS SOCIAIS </t>
  </si>
  <si>
    <t>CRONOGRAMA DE COLETA DE RSU</t>
  </si>
  <si>
    <t>ADMINISTRAÇÃO LOCAL - RSU</t>
  </si>
  <si>
    <t>Preço médio diesel:</t>
  </si>
  <si>
    <t>Preço médio gasolina:</t>
  </si>
  <si>
    <t xml:space="preserve">GRUPO A </t>
  </si>
  <si>
    <t>Seguro Contra Acidentes de Trabalho</t>
  </si>
  <si>
    <t xml:space="preserve">SECONCI </t>
  </si>
  <si>
    <t xml:space="preserve">GRUPO B </t>
  </si>
  <si>
    <t>Repouso Semanal Remunerado</t>
  </si>
  <si>
    <t>Feriados</t>
  </si>
  <si>
    <t>Auxílio - Enfermidade</t>
  </si>
  <si>
    <t>13º Salário</t>
  </si>
  <si>
    <t>Licença Paternidade</t>
  </si>
  <si>
    <t>Faltas Justificadas</t>
  </si>
  <si>
    <t>Dias de Chuvas</t>
  </si>
  <si>
    <t>Auxílio Acidente de Trabalho</t>
  </si>
  <si>
    <t>Férias Gozadas</t>
  </si>
  <si>
    <t>Salário Maternidade</t>
  </si>
  <si>
    <t xml:space="preserve">GRUPO C </t>
  </si>
  <si>
    <t xml:space="preserve"> Aviso Prévio Indenizado</t>
  </si>
  <si>
    <t>Aviso Prévio Trabalhado</t>
  </si>
  <si>
    <t>Férias Indenizadas</t>
  </si>
  <si>
    <t>Depósito Rescisão Sem Justa Causa</t>
  </si>
  <si>
    <t>Indenização Adicional</t>
  </si>
  <si>
    <t xml:space="preserve">GRUPO D </t>
  </si>
  <si>
    <t>Reincidência de Grupo A sobre Grupo B (sem considerar INNS sobre 13º, conforme Lei nº 14.973/2024)</t>
  </si>
  <si>
    <t>Reincidência de Grupo A sobre Aviso Prévio Trabalhado e Reincidência do FGTS sobre Aviso Prévio Indenizado</t>
  </si>
  <si>
    <t>TOTAL GERAL DE ENCARGOS SOCIAIS (A+B+C+D)</t>
  </si>
  <si>
    <t>Velocidade média de coleta interna</t>
  </si>
  <si>
    <t>Adotada</t>
  </si>
  <si>
    <t>Velocidade média de de acesso à Usina</t>
  </si>
  <si>
    <t>25 km/h</t>
  </si>
  <si>
    <t>25 Km/h</t>
  </si>
  <si>
    <t>Água</t>
  </si>
  <si>
    <t>Energia</t>
  </si>
  <si>
    <t xml:space="preserve">Telefone e Internet </t>
  </si>
  <si>
    <t xml:space="preserve">Itens de limpeza </t>
  </si>
  <si>
    <t xml:space="preserve">Mobiliário para escritório </t>
  </si>
  <si>
    <t xml:space="preserve">Aluguel de imóvel </t>
  </si>
  <si>
    <t>Utilitário Pickup</t>
  </si>
  <si>
    <t>CÁLCULO DO CUSTO UNITÁRIO DO CAMINHÃO BASCULANTE RURAL</t>
  </si>
  <si>
    <t>** AS CÉLULAS EDITÁVEIS ESTARÃO NA COR VERDE EM TODAS AS PLANILHAS</t>
  </si>
  <si>
    <t>00/00/0000</t>
  </si>
  <si>
    <t>Foi considerada a base de dados da FIPE, considerando a data base do
orçamento (tabela de abril de 2026), para a obtenção do custo de
aquisição do modelo que a Administração adotou: VW 24-280 E Constel. 6x2 2p (diesel)(E5) -2017 Diesel, em consonância ao que determina o Art. 23 da Lei
14.133/2021.</t>
  </si>
  <si>
    <t>Neste foi considerado 25% do valor do veículo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</si>
</sst>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R$&quot;\ * #,##0.00_-;\-&quot;R$&quot;\ * #,##0.00_-;_-&quot;R$&quot;\ * &quot;-&quot;??_-;_-@_-"/>
    <numFmt numFmtId="164" formatCode="0.0"/>
    <numFmt numFmtId="165" formatCode="&quot;R$&quot;\ #,##0.00"/>
    <numFmt numFmtId="166" formatCode="0.0%"/>
    <numFmt numFmtId="167" formatCode="&quot;R$&quot;\ #,##0.000"/>
    <numFmt numFmtId="168" formatCode="_-* #,##0.00_-;\-* #,##0.00_-;_-* \-??_-;_-@_-"/>
    <numFmt numFmtId="169" formatCode="_(&quot;R$&quot;* #,##0.00_);_(&quot;R$&quot;* \(#,##0.00\);_(&quot;R$&quot;* \-??_);_(@_)"/>
    <numFmt numFmtId="170" formatCode="#,##0.0&quot; h&quot;"/>
    <numFmt numFmtId="171" formatCode="0.0000"/>
    <numFmt numFmtId="172" formatCode="#,##0&quot; conj&quot;"/>
    <numFmt numFmtId="173" formatCode="#,##0.00&quot; h&quot;"/>
    <numFmt numFmtId="174" formatCode="_-&quot;R$&quot;* #,##0.00_-;\-&quot;R$&quot;* #,##0.00_-;_-&quot;R$&quot;* &quot;-&quot;??_-;_-@_-"/>
    <numFmt numFmtId="175" formatCode="0\)"/>
    <numFmt numFmtId="176" formatCode="_(&quot;R$ &quot;* #,##0.00_);_(&quot;R$ &quot;* \(#,##0.00\);_(&quot;R$ &quot;* &quot;-&quot;??_);_(@_)"/>
    <numFmt numFmtId="177" formatCode="0.000"/>
    <numFmt numFmtId="178" formatCode="[$-F400]h:mm:ss\ AM/PM"/>
  </numFmts>
  <fonts count="58">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name val="Aptos Narrow"/>
      <family val="2"/>
      <scheme val="minor"/>
    </font>
    <font>
      <sz val="10"/>
      <color theme="1"/>
      <name val="Aptos Narrow"/>
      <family val="2"/>
      <scheme val="minor"/>
    </font>
    <font>
      <b/>
      <sz val="14"/>
      <color rgb="FF000000"/>
      <name val="Aptos Narrow"/>
      <family val="2"/>
      <scheme val="minor"/>
    </font>
    <font>
      <sz val="11"/>
      <color rgb="FF000000"/>
      <name val="Calibri"/>
      <family val="2"/>
      <charset val="1"/>
    </font>
    <font>
      <sz val="11"/>
      <color rgb="FFFFFFFF"/>
      <name val="Calibri"/>
      <family val="2"/>
      <charset val="1"/>
    </font>
    <font>
      <b/>
      <sz val="12"/>
      <color rgb="FF000000"/>
      <name val="Aptos Narrow"/>
      <family val="2"/>
      <scheme val="minor"/>
    </font>
    <font>
      <sz val="12"/>
      <color rgb="FF000000"/>
      <name val="Aptos Narrow"/>
      <family val="2"/>
      <scheme val="minor"/>
    </font>
    <font>
      <b/>
      <sz val="12"/>
      <color theme="1"/>
      <name val="Aptos Narrow"/>
      <family val="2"/>
      <scheme val="minor"/>
    </font>
    <font>
      <b/>
      <sz val="14"/>
      <color theme="1"/>
      <name val="Aptos Narrow"/>
      <family val="2"/>
      <scheme val="minor"/>
    </font>
    <font>
      <sz val="11"/>
      <color rgb="FF000000"/>
      <name val="Aptos Narrow"/>
      <family val="2"/>
      <scheme val="minor"/>
    </font>
    <font>
      <sz val="11"/>
      <name val="Aptos Narrow"/>
      <family val="2"/>
      <scheme val="minor"/>
    </font>
    <font>
      <b/>
      <sz val="10"/>
      <name val="Aptos Narrow"/>
      <family val="2"/>
      <scheme val="minor"/>
    </font>
    <font>
      <sz val="10"/>
      <color theme="1"/>
      <name val="Arial"/>
      <family val="2"/>
    </font>
    <font>
      <sz val="8"/>
      <name val="Aptos Narrow"/>
      <family val="2"/>
      <scheme val="minor"/>
    </font>
    <font>
      <b/>
      <sz val="16"/>
      <color theme="1"/>
      <name val="Aptos Narrow"/>
      <family val="2"/>
      <scheme val="minor"/>
    </font>
    <font>
      <b/>
      <sz val="11"/>
      <color theme="1"/>
      <name val="Aptos Narrow"/>
      <scheme val="minor"/>
    </font>
    <font>
      <b/>
      <sz val="18"/>
      <color rgb="FF000000"/>
      <name val="Calibri"/>
      <family val="2"/>
    </font>
    <font>
      <b/>
      <sz val="12"/>
      <color rgb="FF000000"/>
      <name val="Calibri"/>
      <family val="2"/>
    </font>
    <font>
      <b/>
      <sz val="12"/>
      <color theme="1"/>
      <name val="Calibri"/>
      <family val="2"/>
    </font>
    <font>
      <sz val="12"/>
      <color rgb="FF000000"/>
      <name val="Calibri"/>
      <family val="2"/>
    </font>
    <font>
      <sz val="11"/>
      <color theme="1"/>
      <name val="Calibri"/>
      <family val="2"/>
    </font>
    <font>
      <b/>
      <sz val="16"/>
      <color theme="1"/>
      <name val="Calibri"/>
      <family val="2"/>
    </font>
    <font>
      <b/>
      <sz val="14"/>
      <color theme="1"/>
      <name val="Calibri"/>
      <family val="2"/>
    </font>
    <font>
      <b/>
      <sz val="11"/>
      <color theme="1"/>
      <name val="Calibri"/>
      <family val="2"/>
    </font>
    <font>
      <b/>
      <sz val="11"/>
      <name val="Calibri"/>
      <family val="2"/>
    </font>
    <font>
      <b/>
      <sz val="12"/>
      <name val="Calibri"/>
      <family val="2"/>
    </font>
    <font>
      <sz val="11"/>
      <name val="Calibri"/>
      <family val="2"/>
    </font>
    <font>
      <b/>
      <sz val="16"/>
      <name val="Calibri"/>
      <family val="2"/>
    </font>
    <font>
      <sz val="10"/>
      <name val="Calibri"/>
      <family val="2"/>
    </font>
    <font>
      <sz val="11"/>
      <color rgb="FF000000"/>
      <name val="Calibri"/>
      <family val="2"/>
    </font>
    <font>
      <b/>
      <sz val="11"/>
      <color rgb="FF000000"/>
      <name val="Calibri"/>
      <family val="2"/>
    </font>
    <font>
      <i/>
      <sz val="11"/>
      <name val="Calibri"/>
      <family val="2"/>
    </font>
    <font>
      <sz val="18"/>
      <color rgb="FF000000"/>
      <name val="Calibri"/>
      <family val="2"/>
    </font>
    <font>
      <b/>
      <sz val="10"/>
      <color rgb="FF000000"/>
      <name val="Calibri"/>
      <family val="2"/>
    </font>
    <font>
      <sz val="10"/>
      <color rgb="FF000000"/>
      <name val="Calibri"/>
      <family val="2"/>
    </font>
    <font>
      <sz val="10"/>
      <color rgb="FFFF0000"/>
      <name val="Calibri"/>
      <family val="2"/>
    </font>
    <font>
      <sz val="10"/>
      <color theme="1"/>
      <name val="Calibri"/>
      <family val="2"/>
    </font>
    <font>
      <sz val="10"/>
      <color theme="1" tint="4.9989318521683403E-2"/>
      <name val="Calibri"/>
      <family val="2"/>
    </font>
    <font>
      <b/>
      <sz val="18"/>
      <color theme="1"/>
      <name val="Calibri"/>
      <family val="2"/>
    </font>
    <font>
      <b/>
      <sz val="20"/>
      <name val="Calibri"/>
      <family val="2"/>
    </font>
    <font>
      <b/>
      <sz val="18"/>
      <name val="Calibri"/>
      <family val="2"/>
    </font>
    <font>
      <sz val="12"/>
      <color theme="1"/>
      <name val="Calibri"/>
      <family val="2"/>
    </font>
    <font>
      <b/>
      <sz val="16"/>
      <color rgb="FF000000"/>
      <name val="Calibri"/>
      <family val="2"/>
    </font>
    <font>
      <b/>
      <sz val="16"/>
      <color theme="6" tint="0.39997558519241921"/>
      <name val="Calibri"/>
      <family val="2"/>
    </font>
    <font>
      <b/>
      <sz val="14"/>
      <color rgb="FF00B050"/>
      <name val="Calibri"/>
      <family val="2"/>
    </font>
    <font>
      <sz val="12"/>
      <name val="Calibri"/>
      <family val="2"/>
    </font>
    <font>
      <b/>
      <sz val="14"/>
      <color rgb="FF000000"/>
      <name val="Calibri"/>
      <family val="2"/>
    </font>
    <font>
      <b/>
      <sz val="10"/>
      <name val="Calibri"/>
      <family val="2"/>
    </font>
    <font>
      <sz val="11"/>
      <color rgb="FFFF0000"/>
      <name val="Calibri"/>
      <family val="2"/>
    </font>
    <font>
      <sz val="14"/>
      <name val="Calibri"/>
      <family val="2"/>
    </font>
    <font>
      <sz val="14"/>
      <color theme="1"/>
      <name val="Calibri"/>
      <family val="2"/>
    </font>
    <font>
      <i/>
      <sz val="11"/>
      <color theme="1"/>
      <name val="Calibri"/>
      <family val="2"/>
    </font>
    <font>
      <b/>
      <i/>
      <sz val="11"/>
      <color theme="1"/>
      <name val="Calibri"/>
      <family val="2"/>
    </font>
    <font>
      <u/>
      <sz val="12"/>
      <name val="Calibri"/>
      <family val="2"/>
    </font>
  </fonts>
  <fills count="15">
    <fill>
      <patternFill patternType="none"/>
    </fill>
    <fill>
      <patternFill patternType="gray125"/>
    </fill>
    <fill>
      <patternFill patternType="solid">
        <fgColor rgb="FFFFFF00"/>
        <bgColor indexed="64"/>
      </patternFill>
    </fill>
    <fill>
      <patternFill patternType="solid">
        <fgColor rgb="FFFF0000"/>
        <bgColor rgb="FF993300"/>
      </patternFill>
    </fill>
    <fill>
      <patternFill patternType="solid">
        <fgColor theme="0"/>
        <bgColor indexed="64"/>
      </patternFill>
    </fill>
    <fill>
      <patternFill patternType="solid">
        <fgColor theme="0"/>
        <bgColor rgb="FFFFFFCC"/>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9" tint="0.79998168889431442"/>
        <bgColor rgb="FF95B3D7"/>
      </patternFill>
    </fill>
    <fill>
      <patternFill patternType="solid">
        <fgColor theme="0" tint="-4.9989318521683403E-2"/>
        <bgColor rgb="FFFFFFCC"/>
      </patternFill>
    </fill>
  </fills>
  <borders count="10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auto="1"/>
      </left>
      <right/>
      <top style="thin">
        <color auto="1"/>
      </top>
      <bottom style="thin">
        <color auto="1"/>
      </bottom>
      <diagonal/>
    </border>
    <border>
      <left style="medium">
        <color auto="1"/>
      </left>
      <right/>
      <top style="medium">
        <color auto="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style="medium">
        <color auto="1"/>
      </left>
      <right style="thin">
        <color auto="1"/>
      </right>
      <top style="thin">
        <color auto="1"/>
      </top>
      <bottom style="medium">
        <color auto="1"/>
      </bottom>
      <diagonal/>
    </border>
    <border>
      <left/>
      <right style="medium">
        <color auto="1"/>
      </right>
      <top style="medium">
        <color auto="1"/>
      </top>
      <bottom style="thin">
        <color indexed="64"/>
      </bottom>
      <diagonal/>
    </border>
    <border>
      <left style="medium">
        <color auto="1"/>
      </left>
      <right/>
      <top/>
      <bottom/>
      <diagonal/>
    </border>
    <border>
      <left style="medium">
        <color indexed="64"/>
      </left>
      <right/>
      <top/>
      <bottom style="thin">
        <color indexed="64"/>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auto="1"/>
      </bottom>
      <diagonal/>
    </border>
    <border>
      <left style="dotted">
        <color auto="1"/>
      </left>
      <right style="dotted">
        <color auto="1"/>
      </right>
      <top style="dotted">
        <color auto="1"/>
      </top>
      <bottom style="dotted">
        <color auto="1"/>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bottom style="medium">
        <color auto="1"/>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top style="dotted">
        <color auto="1"/>
      </top>
      <bottom/>
      <diagonal/>
    </border>
    <border>
      <left style="thin">
        <color indexed="64"/>
      </left>
      <right style="medium">
        <color indexed="64"/>
      </right>
      <top/>
      <bottom/>
      <diagonal/>
    </border>
    <border>
      <left style="thin">
        <color auto="1"/>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thin">
        <color indexed="64"/>
      </left>
      <right/>
      <top style="medium">
        <color indexed="64"/>
      </top>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medium">
        <color indexed="64"/>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
      <left style="medium">
        <color indexed="64"/>
      </left>
      <right style="dotted">
        <color auto="1"/>
      </right>
      <top style="medium">
        <color indexed="64"/>
      </top>
      <bottom style="dotted">
        <color auto="1"/>
      </bottom>
      <diagonal/>
    </border>
    <border>
      <left style="dotted">
        <color auto="1"/>
      </left>
      <right style="dotted">
        <color auto="1"/>
      </right>
      <top style="medium">
        <color indexed="64"/>
      </top>
      <bottom style="dotted">
        <color auto="1"/>
      </bottom>
      <diagonal/>
    </border>
    <border>
      <left style="dotted">
        <color auto="1"/>
      </left>
      <right style="medium">
        <color indexed="64"/>
      </right>
      <top style="medium">
        <color indexed="64"/>
      </top>
      <bottom style="dotted">
        <color auto="1"/>
      </bottom>
      <diagonal/>
    </border>
    <border>
      <left style="medium">
        <color indexed="64"/>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s>
  <cellStyleXfs count="37">
    <xf numFmtId="0" fontId="0" fillId="0" borderId="0"/>
    <xf numFmtId="9" fontId="1"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9" fontId="3" fillId="0" borderId="0" applyFont="0" applyFill="0" applyBorder="0" applyAlignment="0" applyProtection="0"/>
    <xf numFmtId="0" fontId="7"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8" fillId="3" borderId="0" applyBorder="0" applyProtection="0"/>
    <xf numFmtId="168" fontId="7" fillId="0" borderId="0" applyBorder="0" applyProtection="0"/>
    <xf numFmtId="44" fontId="1" fillId="0" borderId="0" applyFont="0" applyFill="0" applyBorder="0" applyAlignment="0" applyProtection="0"/>
    <xf numFmtId="0" fontId="7" fillId="0" borderId="0"/>
    <xf numFmtId="9" fontId="7" fillId="0" borderId="0" applyBorder="0" applyProtection="0"/>
    <xf numFmtId="44" fontId="1" fillId="0" borderId="0" applyFont="0" applyFill="0" applyBorder="0" applyAlignment="0" applyProtection="0"/>
    <xf numFmtId="0" fontId="5" fillId="0" borderId="0"/>
    <xf numFmtId="176" fontId="3"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8" fontId="7" fillId="0" borderId="0" applyBorder="0" applyProtection="0"/>
    <xf numFmtId="0" fontId="5" fillId="0" borderId="0"/>
    <xf numFmtId="176" fontId="3" fillId="0" borderId="0" applyFont="0" applyFill="0" applyBorder="0" applyAlignment="0" applyProtection="0"/>
    <xf numFmtId="0" fontId="3" fillId="0" borderId="0"/>
    <xf numFmtId="9" fontId="5" fillId="0" borderId="0" applyFont="0" applyFill="0" applyBorder="0" applyAlignment="0" applyProtection="0">
      <alignment vertical="center"/>
    </xf>
    <xf numFmtId="44" fontId="3" fillId="0" borderId="0" applyFont="0" applyFill="0" applyBorder="0" applyAlignment="0" applyProtection="0"/>
    <xf numFmtId="0" fontId="16" fillId="0" borderId="0"/>
    <xf numFmtId="0" fontId="3" fillId="0" borderId="0"/>
    <xf numFmtId="44" fontId="1" fillId="0" borderId="0" applyFont="0" applyFill="0" applyBorder="0" applyAlignment="0" applyProtection="0"/>
    <xf numFmtId="44" fontId="1" fillId="0" borderId="0" applyFont="0" applyFill="0" applyBorder="0" applyAlignment="0" applyProtection="0"/>
    <xf numFmtId="0" fontId="1" fillId="0" borderId="0"/>
  </cellStyleXfs>
  <cellXfs count="1164">
    <xf numFmtId="0" fontId="0" fillId="0" borderId="0" xfId="0"/>
    <xf numFmtId="0" fontId="4" fillId="0" borderId="0" xfId="2" applyFont="1"/>
    <xf numFmtId="164" fontId="4" fillId="0" borderId="0" xfId="2" applyNumberFormat="1" applyFont="1" applyAlignment="1">
      <alignment horizontal="center"/>
    </xf>
    <xf numFmtId="0" fontId="6" fillId="0" borderId="0" xfId="2" applyFont="1"/>
    <xf numFmtId="0" fontId="1" fillId="0" borderId="0" xfId="3" applyAlignment="1">
      <alignment horizontal="center"/>
    </xf>
    <xf numFmtId="0" fontId="1" fillId="0" borderId="0" xfId="3"/>
    <xf numFmtId="0" fontId="1" fillId="0" borderId="0" xfId="2" applyFont="1"/>
    <xf numFmtId="0" fontId="4" fillId="0" borderId="0" xfId="2" applyFont="1" applyAlignment="1">
      <alignment horizontal="center"/>
    </xf>
    <xf numFmtId="164" fontId="4" fillId="0" borderId="0" xfId="2" applyNumberFormat="1" applyFont="1"/>
    <xf numFmtId="2" fontId="4" fillId="0" borderId="0" xfId="2" applyNumberFormat="1" applyFont="1"/>
    <xf numFmtId="4" fontId="9" fillId="0" borderId="0" xfId="3" applyNumberFormat="1" applyFont="1" applyAlignment="1">
      <alignment horizontal="center" vertical="center"/>
    </xf>
    <xf numFmtId="4" fontId="10" fillId="0" borderId="0" xfId="3" applyNumberFormat="1" applyFont="1" applyAlignment="1">
      <alignment vertical="center"/>
    </xf>
    <xf numFmtId="4" fontId="10" fillId="0" borderId="0" xfId="3" applyNumberFormat="1" applyFont="1" applyAlignment="1">
      <alignment horizontal="center" vertical="center"/>
    </xf>
    <xf numFmtId="49" fontId="10" fillId="0" borderId="0" xfId="3" applyNumberFormat="1" applyFont="1" applyAlignment="1">
      <alignment horizontal="center" vertical="center"/>
    </xf>
    <xf numFmtId="10" fontId="2" fillId="0" borderId="0" xfId="5" applyNumberFormat="1" applyFont="1"/>
    <xf numFmtId="0" fontId="2" fillId="0" borderId="0" xfId="3" applyFont="1"/>
    <xf numFmtId="165" fontId="1" fillId="0" borderId="0" xfId="3" applyNumberFormat="1"/>
    <xf numFmtId="0" fontId="2" fillId="0" borderId="0" xfId="0" applyFont="1"/>
    <xf numFmtId="0" fontId="14" fillId="0" borderId="0" xfId="2" applyFont="1"/>
    <xf numFmtId="0" fontId="14" fillId="0" borderId="0" xfId="2" applyFont="1" applyAlignment="1">
      <alignment horizontal="center"/>
    </xf>
    <xf numFmtId="0" fontId="1" fillId="0" borderId="0" xfId="0" applyFont="1"/>
    <xf numFmtId="164" fontId="14" fillId="0" borderId="0" xfId="2" applyNumberFormat="1" applyFont="1" applyAlignment="1">
      <alignment horizontal="center"/>
    </xf>
    <xf numFmtId="4" fontId="9" fillId="2" borderId="0" xfId="3" applyNumberFormat="1" applyFont="1" applyFill="1" applyAlignment="1">
      <alignment horizontal="center" vertical="center"/>
    </xf>
    <xf numFmtId="4" fontId="10" fillId="2" borderId="0" xfId="3" applyNumberFormat="1" applyFont="1" applyFill="1" applyAlignment="1">
      <alignment horizontal="center" vertical="center"/>
    </xf>
    <xf numFmtId="4" fontId="10" fillId="2" borderId="0" xfId="3" applyNumberFormat="1" applyFont="1" applyFill="1" applyAlignment="1">
      <alignment vertical="center"/>
    </xf>
    <xf numFmtId="49" fontId="10" fillId="2" borderId="0" xfId="3" applyNumberFormat="1" applyFont="1" applyFill="1" applyAlignment="1">
      <alignment horizontal="center" vertical="center"/>
    </xf>
    <xf numFmtId="10" fontId="0" fillId="0" borderId="0" xfId="1" applyNumberFormat="1" applyFont="1"/>
    <xf numFmtId="10" fontId="12" fillId="0" borderId="0" xfId="1" applyNumberFormat="1" applyFont="1"/>
    <xf numFmtId="0" fontId="1" fillId="9" borderId="0" xfId="3" applyFill="1"/>
    <xf numFmtId="0" fontId="2" fillId="7" borderId="0" xfId="3" applyFont="1" applyFill="1"/>
    <xf numFmtId="0" fontId="0" fillId="0" borderId="0" xfId="3" applyFont="1"/>
    <xf numFmtId="0" fontId="13" fillId="0" borderId="0" xfId="0" applyFont="1"/>
    <xf numFmtId="4" fontId="15" fillId="0" borderId="0" xfId="0" applyNumberFormat="1" applyFont="1" applyAlignment="1">
      <alignment vertical="center"/>
    </xf>
    <xf numFmtId="0" fontId="1" fillId="0" borderId="0" xfId="0" applyFont="1" applyAlignment="1">
      <alignment vertical="center"/>
    </xf>
    <xf numFmtId="0" fontId="0" fillId="0" borderId="0" xfId="0" applyAlignment="1">
      <alignment horizontal="center"/>
    </xf>
    <xf numFmtId="10" fontId="0" fillId="0" borderId="0" xfId="0" applyNumberFormat="1"/>
    <xf numFmtId="10" fontId="0" fillId="0" borderId="0" xfId="0" applyNumberFormat="1" applyAlignment="1">
      <alignment horizontal="center" vertical="center"/>
    </xf>
    <xf numFmtId="0" fontId="1" fillId="2" borderId="0" xfId="3" applyFill="1"/>
    <xf numFmtId="174" fontId="1" fillId="2" borderId="0" xfId="3" applyNumberFormat="1" applyFill="1"/>
    <xf numFmtId="0" fontId="6" fillId="2" borderId="0" xfId="2" applyFont="1" applyFill="1"/>
    <xf numFmtId="44" fontId="1" fillId="2" borderId="0" xfId="15" applyFont="1" applyFill="1"/>
    <xf numFmtId="165" fontId="0" fillId="0" borderId="0" xfId="0" applyNumberFormat="1"/>
    <xf numFmtId="0" fontId="0" fillId="0" borderId="0" xfId="0" applyAlignment="1">
      <alignment horizontal="center" vertical="center" wrapText="1"/>
    </xf>
    <xf numFmtId="0" fontId="4" fillId="0" borderId="0" xfId="2" applyFont="1" applyAlignment="1">
      <alignment vertical="center"/>
    </xf>
    <xf numFmtId="1" fontId="0" fillId="0" borderId="0" xfId="0" applyNumberFormat="1" applyAlignment="1">
      <alignment horizontal="center" vertical="center" wrapText="1"/>
    </xf>
    <xf numFmtId="0" fontId="1" fillId="0" borderId="0" xfId="3" applyAlignment="1">
      <alignment wrapText="1"/>
    </xf>
    <xf numFmtId="10" fontId="2" fillId="0" borderId="0" xfId="5" applyNumberFormat="1" applyFont="1" applyAlignment="1">
      <alignment wrapText="1"/>
    </xf>
    <xf numFmtId="0" fontId="0" fillId="0" borderId="0" xfId="0"/>
    <xf numFmtId="0" fontId="0" fillId="0" borderId="0" xfId="0"/>
    <xf numFmtId="0" fontId="0" fillId="0" borderId="0" xfId="0"/>
    <xf numFmtId="0" fontId="4" fillId="0" borderId="0" xfId="2" applyFont="1" applyAlignment="1">
      <alignment horizontal="center"/>
    </xf>
    <xf numFmtId="0" fontId="0" fillId="0" borderId="0" xfId="0"/>
    <xf numFmtId="0" fontId="1" fillId="2" borderId="0" xfId="3" applyFill="1" applyBorder="1" applyAlignment="1">
      <alignment horizontal="center" vertical="center"/>
    </xf>
    <xf numFmtId="0" fontId="1" fillId="2" borderId="0" xfId="3" applyFill="1" applyBorder="1" applyAlignment="1">
      <alignment horizontal="center" vertical="center" wrapText="1"/>
    </xf>
    <xf numFmtId="0" fontId="1" fillId="2" borderId="0" xfId="3" applyFill="1" applyBorder="1"/>
    <xf numFmtId="0" fontId="1" fillId="2" borderId="0" xfId="3" applyFill="1" applyBorder="1" applyAlignment="1">
      <alignment horizontal="center"/>
    </xf>
    <xf numFmtId="165" fontId="1" fillId="2" borderId="0" xfId="3" applyNumberFormat="1" applyFill="1" applyBorder="1" applyAlignment="1">
      <alignment horizontal="center"/>
    </xf>
    <xf numFmtId="44" fontId="1" fillId="2" borderId="0" xfId="3" applyNumberFormat="1" applyFill="1" applyBorder="1"/>
    <xf numFmtId="165" fontId="18" fillId="2" borderId="0" xfId="3" applyNumberFormat="1" applyFont="1" applyFill="1" applyBorder="1"/>
    <xf numFmtId="44" fontId="12" fillId="2" borderId="0" xfId="12" applyFont="1" applyFill="1" applyBorder="1" applyAlignment="1" applyProtection="1"/>
    <xf numFmtId="44" fontId="18" fillId="2" borderId="0" xfId="15" applyFont="1" applyFill="1" applyBorder="1"/>
    <xf numFmtId="44" fontId="1" fillId="0" borderId="0" xfId="3" applyNumberFormat="1"/>
    <xf numFmtId="0" fontId="0" fillId="0" borderId="0" xfId="0" applyAlignment="1">
      <alignment horizontal="center" vertical="center"/>
    </xf>
    <xf numFmtId="0" fontId="0" fillId="0" borderId="0" xfId="0"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10" fontId="1" fillId="0" borderId="0" xfId="3" applyNumberFormat="1"/>
    <xf numFmtId="0" fontId="5" fillId="0" borderId="0" xfId="3" applyFont="1"/>
    <xf numFmtId="4" fontId="21" fillId="2" borderId="0" xfId="3" applyNumberFormat="1" applyFont="1" applyFill="1" applyAlignment="1">
      <alignment vertical="center"/>
    </xf>
    <xf numFmtId="4" fontId="21" fillId="2" borderId="0" xfId="3" applyNumberFormat="1" applyFont="1" applyFill="1" applyAlignment="1">
      <alignment horizontal="center" vertical="center"/>
    </xf>
    <xf numFmtId="169" fontId="21" fillId="2" borderId="0" xfId="12" applyNumberFormat="1" applyFont="1" applyFill="1" applyBorder="1" applyAlignment="1" applyProtection="1">
      <alignment vertical="center" shrinkToFit="1"/>
    </xf>
    <xf numFmtId="4" fontId="23" fillId="2" borderId="0" xfId="3" applyNumberFormat="1" applyFont="1" applyFill="1" applyAlignment="1">
      <alignment horizontal="center" vertical="center"/>
    </xf>
    <xf numFmtId="169" fontId="23" fillId="2" borderId="11" xfId="12" applyNumberFormat="1" applyFont="1" applyFill="1" applyBorder="1" applyAlignment="1" applyProtection="1">
      <alignment vertical="center"/>
    </xf>
    <xf numFmtId="169" fontId="21" fillId="2" borderId="11" xfId="12" applyNumberFormat="1" applyFont="1" applyFill="1" applyBorder="1" applyAlignment="1" applyProtection="1">
      <alignment vertical="center"/>
    </xf>
    <xf numFmtId="4" fontId="23" fillId="2" borderId="0" xfId="3" applyNumberFormat="1" applyFont="1" applyFill="1" applyAlignment="1">
      <alignment vertical="center" wrapText="1"/>
    </xf>
    <xf numFmtId="4" fontId="23" fillId="2" borderId="5" xfId="3" applyNumberFormat="1" applyFont="1" applyFill="1" applyBorder="1" applyAlignment="1">
      <alignment horizontal="center" vertical="center"/>
    </xf>
    <xf numFmtId="169" fontId="23" fillId="2" borderId="13" xfId="12" applyNumberFormat="1" applyFont="1" applyFill="1" applyBorder="1" applyAlignment="1" applyProtection="1">
      <alignment vertical="center"/>
    </xf>
    <xf numFmtId="4" fontId="21" fillId="2" borderId="9" xfId="3" applyNumberFormat="1" applyFont="1" applyFill="1" applyBorder="1" applyAlignment="1">
      <alignment horizontal="center" vertical="center"/>
    </xf>
    <xf numFmtId="4" fontId="21" fillId="2" borderId="9" xfId="3" applyNumberFormat="1" applyFont="1" applyFill="1" applyBorder="1" applyAlignment="1">
      <alignment vertical="center"/>
    </xf>
    <xf numFmtId="169" fontId="21" fillId="2" borderId="8" xfId="12" applyNumberFormat="1" applyFont="1" applyFill="1" applyBorder="1" applyAlignment="1" applyProtection="1">
      <alignment vertical="center" shrinkToFit="1"/>
    </xf>
    <xf numFmtId="0" fontId="24" fillId="2" borderId="0" xfId="3" applyFont="1" applyFill="1"/>
    <xf numFmtId="4" fontId="23" fillId="2" borderId="15" xfId="3" applyNumberFormat="1" applyFont="1" applyFill="1" applyBorder="1" applyAlignment="1">
      <alignment horizontal="center" vertical="center"/>
    </xf>
    <xf numFmtId="4" fontId="21" fillId="2" borderId="5" xfId="3" applyNumberFormat="1" applyFont="1" applyFill="1" applyBorder="1" applyAlignment="1">
      <alignment horizontal="center" vertical="center"/>
    </xf>
    <xf numFmtId="4" fontId="21" fillId="2" borderId="5" xfId="3" applyNumberFormat="1" applyFont="1" applyFill="1" applyBorder="1" applyAlignment="1">
      <alignment vertical="center"/>
    </xf>
    <xf numFmtId="169" fontId="21" fillId="2" borderId="13" xfId="12" applyNumberFormat="1" applyFont="1" applyFill="1" applyBorder="1" applyAlignment="1" applyProtection="1">
      <alignment vertical="center" shrinkToFit="1"/>
    </xf>
    <xf numFmtId="0" fontId="24" fillId="2" borderId="0" xfId="3" applyFont="1" applyFill="1" applyAlignment="1">
      <alignment horizontal="center"/>
    </xf>
    <xf numFmtId="44" fontId="24" fillId="2" borderId="0" xfId="3" applyNumberFormat="1" applyFont="1" applyFill="1"/>
    <xf numFmtId="44" fontId="26" fillId="2" borderId="9" xfId="12" applyFont="1" applyFill="1" applyBorder="1" applyAlignment="1" applyProtection="1"/>
    <xf numFmtId="44" fontId="26" fillId="2" borderId="15" xfId="12" applyFont="1" applyFill="1" applyBorder="1" applyAlignment="1" applyProtection="1"/>
    <xf numFmtId="44" fontId="26" fillId="2" borderId="0" xfId="12" applyFont="1" applyFill="1" applyBorder="1" applyAlignment="1" applyProtection="1"/>
    <xf numFmtId="0" fontId="30" fillId="0" borderId="0" xfId="2" applyFont="1"/>
    <xf numFmtId="0" fontId="24" fillId="0" borderId="0" xfId="3" applyFont="1"/>
    <xf numFmtId="0" fontId="32" fillId="0" borderId="0" xfId="2" applyFont="1"/>
    <xf numFmtId="2" fontId="24" fillId="6" borderId="0" xfId="4" applyNumberFormat="1" applyFont="1" applyFill="1" applyAlignment="1" applyProtection="1">
      <alignment horizontal="center"/>
      <protection locked="0"/>
    </xf>
    <xf numFmtId="0" fontId="24" fillId="0" borderId="0" xfId="0" applyFont="1"/>
    <xf numFmtId="0" fontId="39" fillId="0" borderId="0" xfId="2" applyFont="1" applyAlignment="1">
      <alignment horizontal="left" vertical="center"/>
    </xf>
    <xf numFmtId="0" fontId="32" fillId="0" borderId="0" xfId="2" applyFont="1" applyAlignment="1">
      <alignment vertical="center"/>
    </xf>
    <xf numFmtId="0" fontId="30" fillId="0" borderId="0" xfId="2" applyFont="1" applyAlignment="1">
      <alignment horizontal="center"/>
    </xf>
    <xf numFmtId="0" fontId="24" fillId="0" borderId="0" xfId="3" applyFont="1" applyAlignment="1">
      <alignment horizontal="center"/>
    </xf>
    <xf numFmtId="0" fontId="32" fillId="0" borderId="0" xfId="2" applyFont="1" applyAlignment="1">
      <alignment horizontal="center"/>
    </xf>
    <xf numFmtId="164" fontId="30" fillId="0" borderId="0" xfId="2" applyNumberFormat="1" applyFont="1" applyAlignment="1">
      <alignment horizontal="center"/>
    </xf>
    <xf numFmtId="0" fontId="27" fillId="0" borderId="49" xfId="0" applyFont="1" applyBorder="1" applyAlignment="1">
      <alignment horizontal="center" vertical="center"/>
    </xf>
    <xf numFmtId="0" fontId="22" fillId="0" borderId="36" xfId="0" applyFont="1" applyBorder="1" applyAlignment="1">
      <alignment horizontal="center" vertical="center"/>
    </xf>
    <xf numFmtId="0" fontId="22" fillId="0" borderId="49" xfId="0" applyFont="1" applyBorder="1" applyAlignment="1">
      <alignment horizontal="center" vertical="center" wrapText="1"/>
    </xf>
    <xf numFmtId="0" fontId="30" fillId="0" borderId="27" xfId="0" applyFont="1" applyBorder="1" applyAlignment="1">
      <alignment horizontal="center" vertical="center" wrapText="1"/>
    </xf>
    <xf numFmtId="0" fontId="24" fillId="0" borderId="0" xfId="0" applyFont="1" applyAlignment="1">
      <alignment horizontal="center" vertical="center"/>
    </xf>
    <xf numFmtId="0" fontId="22" fillId="0" borderId="70" xfId="0" applyFont="1" applyBorder="1" applyAlignment="1">
      <alignment horizontal="center" vertical="center"/>
    </xf>
    <xf numFmtId="0" fontId="22" fillId="0" borderId="76" xfId="0" applyFont="1" applyBorder="1" applyAlignment="1">
      <alignment horizontal="center" vertical="center"/>
    </xf>
    <xf numFmtId="0" fontId="26" fillId="12" borderId="24" xfId="0" applyFont="1" applyFill="1" applyBorder="1" applyAlignment="1">
      <alignment horizontal="center" vertical="center"/>
    </xf>
    <xf numFmtId="0" fontId="26" fillId="12" borderId="31" xfId="0" applyFont="1" applyFill="1" applyBorder="1" applyAlignment="1">
      <alignment horizontal="center" vertical="center"/>
    </xf>
    <xf numFmtId="0" fontId="26" fillId="12" borderId="32" xfId="0" applyFont="1" applyFill="1" applyBorder="1" applyAlignment="1">
      <alignment horizontal="center" vertical="center"/>
    </xf>
    <xf numFmtId="0" fontId="27" fillId="0" borderId="0" xfId="0" applyFont="1" applyAlignment="1">
      <alignment horizontal="center" vertical="center"/>
    </xf>
    <xf numFmtId="165" fontId="27" fillId="4" borderId="0" xfId="0" applyNumberFormat="1" applyFont="1" applyFill="1" applyAlignment="1">
      <alignment horizontal="center" vertical="center"/>
    </xf>
    <xf numFmtId="0" fontId="26" fillId="12" borderId="25" xfId="0" applyFont="1" applyFill="1" applyBorder="1" applyAlignment="1">
      <alignment horizontal="center" vertical="center" wrapText="1"/>
    </xf>
    <xf numFmtId="4" fontId="29" fillId="4" borderId="17" xfId="13" applyNumberFormat="1" applyFont="1" applyFill="1" applyBorder="1" applyAlignment="1">
      <alignment vertical="center"/>
    </xf>
    <xf numFmtId="4" fontId="29" fillId="4" borderId="18" xfId="13" applyNumberFormat="1" applyFont="1" applyFill="1" applyBorder="1" applyAlignment="1">
      <alignment vertical="center" wrapText="1"/>
    </xf>
    <xf numFmtId="4" fontId="29" fillId="4" borderId="18" xfId="13" applyNumberFormat="1" applyFont="1" applyFill="1" applyBorder="1" applyAlignment="1">
      <alignment horizontal="right" vertical="center" wrapText="1"/>
    </xf>
    <xf numFmtId="4" fontId="29" fillId="4" borderId="20" xfId="13" applyNumberFormat="1" applyFont="1" applyFill="1" applyBorder="1" applyAlignment="1">
      <alignment vertical="center"/>
    </xf>
    <xf numFmtId="4" fontId="29" fillId="4" borderId="21" xfId="13" applyNumberFormat="1" applyFont="1" applyFill="1" applyBorder="1" applyAlignment="1">
      <alignment vertical="center"/>
    </xf>
    <xf numFmtId="4" fontId="29" fillId="4" borderId="21" xfId="13" applyNumberFormat="1" applyFont="1" applyFill="1" applyBorder="1" applyAlignment="1">
      <alignment horizontal="right" vertical="center"/>
    </xf>
    <xf numFmtId="0" fontId="32" fillId="4" borderId="0" xfId="2" applyFont="1" applyFill="1"/>
    <xf numFmtId="0" fontId="33" fillId="4" borderId="0" xfId="13" applyFont="1" applyFill="1"/>
    <xf numFmtId="4" fontId="28" fillId="4" borderId="0" xfId="13" applyNumberFormat="1" applyFont="1" applyFill="1" applyAlignment="1">
      <alignment vertical="center" wrapText="1" shrinkToFit="1"/>
    </xf>
    <xf numFmtId="4" fontId="30" fillId="4" borderId="0" xfId="13" applyNumberFormat="1" applyFont="1" applyFill="1" applyAlignment="1">
      <alignment vertical="center"/>
    </xf>
    <xf numFmtId="165" fontId="24" fillId="0" borderId="0" xfId="3" applyNumberFormat="1" applyFont="1"/>
    <xf numFmtId="0" fontId="24" fillId="4" borderId="26" xfId="3" applyFont="1" applyFill="1" applyBorder="1" applyAlignment="1">
      <alignment horizontal="center"/>
    </xf>
    <xf numFmtId="0" fontId="23" fillId="4" borderId="6" xfId="3" applyFont="1" applyFill="1" applyBorder="1" applyAlignment="1">
      <alignment vertical="center" wrapText="1"/>
    </xf>
    <xf numFmtId="0" fontId="23" fillId="4" borderId="6" xfId="3" applyFont="1" applyFill="1" applyBorder="1" applyAlignment="1">
      <alignment horizontal="center" vertical="center" wrapText="1"/>
    </xf>
    <xf numFmtId="2" fontId="23" fillId="4" borderId="6" xfId="3" applyNumberFormat="1" applyFont="1" applyFill="1" applyBorder="1" applyAlignment="1">
      <alignment horizontal="center" vertical="center"/>
    </xf>
    <xf numFmtId="165" fontId="23" fillId="4" borderId="6" xfId="4" applyNumberFormat="1" applyFont="1" applyFill="1" applyBorder="1" applyAlignment="1">
      <alignment horizontal="center" vertical="center"/>
    </xf>
    <xf numFmtId="165" fontId="45" fillId="4" borderId="6" xfId="4" applyNumberFormat="1" applyFont="1" applyFill="1" applyBorder="1" applyAlignment="1">
      <alignment horizontal="center" vertical="center"/>
    </xf>
    <xf numFmtId="165" fontId="45" fillId="4" borderId="27" xfId="3" applyNumberFormat="1" applyFont="1" applyFill="1" applyBorder="1" applyAlignment="1">
      <alignment horizontal="center" vertical="center"/>
    </xf>
    <xf numFmtId="0" fontId="27" fillId="4" borderId="64" xfId="3" applyFont="1" applyFill="1" applyBorder="1" applyAlignment="1">
      <alignment horizontal="center"/>
    </xf>
    <xf numFmtId="0" fontId="21" fillId="4" borderId="37" xfId="3" applyFont="1" applyFill="1" applyBorder="1" applyAlignment="1">
      <alignment vertical="center" wrapText="1"/>
    </xf>
    <xf numFmtId="0" fontId="21" fillId="4" borderId="37" xfId="3" applyFont="1" applyFill="1" applyBorder="1" applyAlignment="1">
      <alignment horizontal="center" vertical="center" wrapText="1"/>
    </xf>
    <xf numFmtId="2" fontId="21" fillId="4" borderId="37" xfId="3" applyNumberFormat="1" applyFont="1" applyFill="1" applyBorder="1" applyAlignment="1">
      <alignment horizontal="center" vertical="center"/>
    </xf>
    <xf numFmtId="165" fontId="21" fillId="4" borderId="37" xfId="4" applyNumberFormat="1" applyFont="1" applyFill="1" applyBorder="1" applyAlignment="1">
      <alignment horizontal="center" vertical="center"/>
    </xf>
    <xf numFmtId="167" fontId="22" fillId="4" borderId="37" xfId="4" applyNumberFormat="1" applyFont="1" applyFill="1" applyBorder="1" applyAlignment="1">
      <alignment horizontal="center" vertical="center"/>
    </xf>
    <xf numFmtId="165" fontId="22" fillId="4" borderId="65" xfId="3" applyNumberFormat="1" applyFont="1" applyFill="1" applyBorder="1" applyAlignment="1">
      <alignment horizontal="center" vertical="center"/>
    </xf>
    <xf numFmtId="0" fontId="27" fillId="4" borderId="35" xfId="3" applyFont="1" applyFill="1" applyBorder="1" applyAlignment="1">
      <alignment vertical="center"/>
    </xf>
    <xf numFmtId="0" fontId="21" fillId="4" borderId="36" xfId="3" applyFont="1" applyFill="1" applyBorder="1" applyAlignment="1">
      <alignment horizontal="center" vertical="center"/>
    </xf>
    <xf numFmtId="0" fontId="21" fillId="4" borderId="36" xfId="3" applyFont="1" applyFill="1" applyBorder="1" applyAlignment="1">
      <alignment horizontal="center" vertical="center" wrapText="1"/>
    </xf>
    <xf numFmtId="0" fontId="21" fillId="4" borderId="49" xfId="3" applyFont="1" applyFill="1" applyBorder="1" applyAlignment="1">
      <alignment horizontal="center" vertical="center" wrapText="1"/>
    </xf>
    <xf numFmtId="0" fontId="24" fillId="4" borderId="50" xfId="3" applyFont="1" applyFill="1" applyBorder="1" applyAlignment="1">
      <alignment horizontal="center" wrapText="1"/>
    </xf>
    <xf numFmtId="0" fontId="23" fillId="4" borderId="38" xfId="3" applyFont="1" applyFill="1" applyBorder="1" applyAlignment="1">
      <alignment vertical="center" wrapText="1"/>
    </xf>
    <xf numFmtId="0" fontId="23" fillId="4" borderId="38" xfId="3" applyFont="1" applyFill="1" applyBorder="1" applyAlignment="1">
      <alignment horizontal="center" vertical="center" wrapText="1"/>
    </xf>
    <xf numFmtId="2" fontId="23" fillId="4" borderId="38" xfId="3" applyNumberFormat="1" applyFont="1" applyFill="1" applyBorder="1" applyAlignment="1">
      <alignment horizontal="center" vertical="center"/>
    </xf>
    <xf numFmtId="165" fontId="23" fillId="4" borderId="38" xfId="4" applyNumberFormat="1" applyFont="1" applyFill="1" applyBorder="1" applyAlignment="1">
      <alignment horizontal="center" vertical="center" wrapText="1"/>
    </xf>
    <xf numFmtId="165" fontId="45" fillId="4" borderId="38" xfId="4" applyNumberFormat="1" applyFont="1" applyFill="1" applyBorder="1" applyAlignment="1">
      <alignment horizontal="center" vertical="center"/>
    </xf>
    <xf numFmtId="165" fontId="45" fillId="4" borderId="51" xfId="3" applyNumberFormat="1" applyFont="1" applyFill="1" applyBorder="1" applyAlignment="1">
      <alignment horizontal="center" vertical="center" wrapText="1"/>
    </xf>
    <xf numFmtId="165" fontId="47" fillId="4" borderId="49" xfId="3" applyNumberFormat="1" applyFont="1" applyFill="1" applyBorder="1" applyAlignment="1">
      <alignment horizontal="center"/>
    </xf>
    <xf numFmtId="165" fontId="26" fillId="4" borderId="49" xfId="3" applyNumberFormat="1" applyFont="1" applyFill="1" applyBorder="1" applyAlignment="1">
      <alignment horizontal="center"/>
    </xf>
    <xf numFmtId="2" fontId="32" fillId="0" borderId="0" xfId="2" applyNumberFormat="1" applyFont="1"/>
    <xf numFmtId="2" fontId="24" fillId="10" borderId="38" xfId="0" applyNumberFormat="1" applyFont="1" applyFill="1" applyBorder="1" applyAlignment="1">
      <alignment horizontal="center" vertical="center"/>
    </xf>
    <xf numFmtId="2" fontId="24" fillId="10" borderId="6" xfId="0" applyNumberFormat="1" applyFont="1" applyFill="1" applyBorder="1" applyAlignment="1">
      <alignment horizontal="center" vertical="center"/>
    </xf>
    <xf numFmtId="4" fontId="30" fillId="4" borderId="0" xfId="13" applyNumberFormat="1" applyFont="1" applyFill="1" applyAlignment="1">
      <alignment vertical="center" wrapText="1" shrinkToFit="1"/>
    </xf>
    <xf numFmtId="0" fontId="23" fillId="0" borderId="0" xfId="3" applyFont="1" applyAlignment="1">
      <alignment horizontal="center" vertical="center"/>
    </xf>
    <xf numFmtId="165" fontId="45" fillId="0" borderId="0" xfId="3" applyNumberFormat="1" applyFont="1" applyAlignment="1">
      <alignment horizontal="center"/>
    </xf>
    <xf numFmtId="0" fontId="27" fillId="4" borderId="68" xfId="3" applyFont="1" applyFill="1" applyBorder="1" applyAlignment="1">
      <alignment vertical="center"/>
    </xf>
    <xf numFmtId="0" fontId="21" fillId="4" borderId="70" xfId="3" applyFont="1" applyFill="1" applyBorder="1" applyAlignment="1">
      <alignment horizontal="center" vertical="center"/>
    </xf>
    <xf numFmtId="0" fontId="21" fillId="4" borderId="70" xfId="3" applyFont="1" applyFill="1" applyBorder="1" applyAlignment="1">
      <alignment horizontal="center" vertical="center" wrapText="1"/>
    </xf>
    <xf numFmtId="0" fontId="21" fillId="4" borderId="76" xfId="3" applyFont="1" applyFill="1" applyBorder="1" applyAlignment="1">
      <alignment horizontal="center" vertical="center" wrapText="1"/>
    </xf>
    <xf numFmtId="0" fontId="27" fillId="4" borderId="23" xfId="3" applyFont="1" applyFill="1" applyBorder="1" applyAlignment="1">
      <alignment horizontal="center"/>
    </xf>
    <xf numFmtId="0" fontId="21" fillId="4" borderId="24" xfId="3" applyFont="1" applyFill="1" applyBorder="1" applyAlignment="1">
      <alignment vertical="center" wrapText="1"/>
    </xf>
    <xf numFmtId="0" fontId="21" fillId="4" borderId="24" xfId="3" applyFont="1" applyFill="1" applyBorder="1" applyAlignment="1">
      <alignment horizontal="center" vertical="center" wrapText="1"/>
    </xf>
    <xf numFmtId="2" fontId="21" fillId="4" borderId="24" xfId="3" applyNumberFormat="1" applyFont="1" applyFill="1" applyBorder="1" applyAlignment="1">
      <alignment horizontal="center" vertical="center"/>
    </xf>
    <xf numFmtId="165" fontId="21" fillId="4" borderId="24" xfId="4" applyNumberFormat="1" applyFont="1" applyFill="1" applyBorder="1" applyAlignment="1">
      <alignment horizontal="center" vertical="center"/>
    </xf>
    <xf numFmtId="165" fontId="22" fillId="4" borderId="24" xfId="4" applyNumberFormat="1" applyFont="1" applyFill="1" applyBorder="1" applyAlignment="1">
      <alignment horizontal="center" vertical="center"/>
    </xf>
    <xf numFmtId="165" fontId="22" fillId="4" borderId="24" xfId="3" applyNumberFormat="1" applyFont="1" applyFill="1" applyBorder="1" applyAlignment="1">
      <alignment horizontal="center" vertical="center"/>
    </xf>
    <xf numFmtId="165" fontId="22" fillId="4" borderId="25" xfId="3" applyNumberFormat="1" applyFont="1" applyFill="1" applyBorder="1" applyAlignment="1">
      <alignment horizontal="center" vertical="center"/>
    </xf>
    <xf numFmtId="167" fontId="45" fillId="4" borderId="6" xfId="4" applyNumberFormat="1" applyFont="1" applyFill="1" applyBorder="1" applyAlignment="1">
      <alignment horizontal="center" vertical="center"/>
    </xf>
    <xf numFmtId="0" fontId="24" fillId="4" borderId="50" xfId="3" applyFont="1" applyFill="1" applyBorder="1" applyAlignment="1">
      <alignment horizontal="center"/>
    </xf>
    <xf numFmtId="165" fontId="23" fillId="4" borderId="38" xfId="4" applyNumberFormat="1" applyFont="1" applyFill="1" applyBorder="1" applyAlignment="1">
      <alignment horizontal="center" vertical="center"/>
    </xf>
    <xf numFmtId="167" fontId="45" fillId="4" borderId="38" xfId="4" applyNumberFormat="1" applyFont="1" applyFill="1" applyBorder="1" applyAlignment="1">
      <alignment horizontal="center" vertical="center"/>
    </xf>
    <xf numFmtId="165" fontId="45" fillId="4" borderId="51" xfId="3" applyNumberFormat="1" applyFont="1" applyFill="1" applyBorder="1" applyAlignment="1">
      <alignment horizontal="center" vertical="center"/>
    </xf>
    <xf numFmtId="165" fontId="48" fillId="4" borderId="36" xfId="3" applyNumberFormat="1" applyFont="1" applyFill="1" applyBorder="1" applyAlignment="1">
      <alignment horizontal="center"/>
    </xf>
    <xf numFmtId="0" fontId="24" fillId="0" borderId="0" xfId="0" applyNumberFormat="1" applyFont="1"/>
    <xf numFmtId="2" fontId="24" fillId="0" borderId="0" xfId="0" applyNumberFormat="1" applyFont="1"/>
    <xf numFmtId="178" fontId="24" fillId="0" borderId="0" xfId="0" applyNumberFormat="1" applyFont="1"/>
    <xf numFmtId="20" fontId="24" fillId="0" borderId="0" xfId="0" applyNumberFormat="1" applyFont="1"/>
    <xf numFmtId="0" fontId="30" fillId="0" borderId="0" xfId="2" applyFont="1" applyBorder="1"/>
    <xf numFmtId="164" fontId="30" fillId="0" borderId="0" xfId="2" applyNumberFormat="1" applyFont="1" applyBorder="1" applyAlignment="1">
      <alignment horizont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4" fillId="0" borderId="6" xfId="0" applyFont="1" applyBorder="1" applyAlignment="1">
      <alignment horizontal="center" vertical="center"/>
    </xf>
    <xf numFmtId="0" fontId="24" fillId="0" borderId="37" xfId="0" applyFont="1" applyBorder="1" applyAlignment="1">
      <alignment horizontal="center" vertical="center"/>
    </xf>
    <xf numFmtId="0" fontId="24" fillId="0" borderId="6" xfId="0" applyFont="1" applyBorder="1" applyAlignment="1">
      <alignment horizontal="center" vertical="center" wrapText="1"/>
    </xf>
    <xf numFmtId="0" fontId="24" fillId="0" borderId="51" xfId="0" applyFont="1" applyBorder="1" applyAlignment="1">
      <alignment horizontal="center" vertical="center"/>
    </xf>
    <xf numFmtId="0" fontId="27" fillId="0" borderId="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7" xfId="0" applyFont="1" applyBorder="1" applyAlignment="1">
      <alignment horizontal="center" vertical="center"/>
    </xf>
    <xf numFmtId="0" fontId="24" fillId="0" borderId="38" xfId="0" applyFont="1" applyBorder="1" applyAlignment="1">
      <alignment horizontal="center" vertical="center"/>
    </xf>
    <xf numFmtId="0" fontId="24" fillId="0" borderId="38"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10" xfId="0" applyFont="1" applyBorder="1" applyAlignment="1">
      <alignment horizontal="center" vertical="center" wrapText="1"/>
    </xf>
    <xf numFmtId="2" fontId="24" fillId="0" borderId="51" xfId="0" applyNumberFormat="1" applyFont="1" applyBorder="1" applyAlignment="1">
      <alignment horizontal="center" vertical="center" wrapText="1"/>
    </xf>
    <xf numFmtId="0" fontId="30" fillId="0" borderId="65" xfId="0" applyFont="1" applyBorder="1" applyAlignment="1">
      <alignment horizontal="center" vertical="center" wrapText="1"/>
    </xf>
    <xf numFmtId="0" fontId="24" fillId="0" borderId="0" xfId="0" applyFont="1" applyBorder="1" applyAlignment="1">
      <alignment horizontal="center" vertical="center"/>
    </xf>
    <xf numFmtId="0" fontId="27" fillId="0" borderId="73" xfId="0" applyFont="1" applyBorder="1" applyAlignment="1">
      <alignment horizontal="center" vertical="center"/>
    </xf>
    <xf numFmtId="0" fontId="27" fillId="0" borderId="66" xfId="0" applyFont="1" applyBorder="1" applyAlignment="1">
      <alignment horizontal="center" vertical="center" wrapText="1"/>
    </xf>
    <xf numFmtId="0" fontId="27" fillId="0" borderId="66" xfId="0" applyFont="1" applyFill="1" applyBorder="1" applyAlignment="1">
      <alignment horizontal="center" vertical="center" wrapText="1"/>
    </xf>
    <xf numFmtId="0" fontId="27" fillId="0" borderId="67" xfId="0" applyFont="1" applyFill="1" applyBorder="1" applyAlignment="1">
      <alignment horizontal="center" vertical="center" wrapText="1"/>
    </xf>
    <xf numFmtId="17" fontId="29" fillId="4" borderId="0" xfId="13" applyNumberFormat="1" applyFont="1" applyFill="1" applyBorder="1" applyAlignment="1">
      <alignment horizontal="left" vertical="center" wrapText="1"/>
    </xf>
    <xf numFmtId="10" fontId="29" fillId="4" borderId="0" xfId="14" applyNumberFormat="1" applyFont="1" applyFill="1" applyBorder="1" applyAlignment="1">
      <alignment horizontal="left" vertical="center"/>
    </xf>
    <xf numFmtId="0" fontId="45" fillId="0" borderId="0" xfId="0" applyFont="1"/>
    <xf numFmtId="0" fontId="45" fillId="0" borderId="0" xfId="0" applyFont="1" applyAlignment="1">
      <alignment vertical="center"/>
    </xf>
    <xf numFmtId="0" fontId="45" fillId="7" borderId="0" xfId="0" applyFont="1" applyFill="1" applyBorder="1"/>
    <xf numFmtId="0" fontId="45" fillId="7" borderId="0" xfId="0" applyFont="1" applyFill="1"/>
    <xf numFmtId="0" fontId="45" fillId="10" borderId="0" xfId="0" applyFont="1" applyFill="1"/>
    <xf numFmtId="0" fontId="22" fillId="0" borderId="0" xfId="0" applyFont="1" applyBorder="1" applyAlignment="1">
      <alignment horizontal="center" vertical="center"/>
    </xf>
    <xf numFmtId="0" fontId="45" fillId="0" borderId="0" xfId="0" applyFont="1" applyBorder="1" applyAlignment="1">
      <alignment horizontal="center" vertical="center"/>
    </xf>
    <xf numFmtId="44" fontId="45" fillId="0" borderId="0" xfId="0" applyNumberFormat="1" applyFont="1" applyBorder="1" applyAlignment="1">
      <alignment horizontal="center" vertical="center"/>
    </xf>
    <xf numFmtId="44" fontId="1" fillId="0" borderId="0" xfId="0" applyNumberFormat="1"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4" fontId="29" fillId="4" borderId="17" xfId="13" applyNumberFormat="1" applyFont="1" applyFill="1" applyBorder="1" applyAlignment="1">
      <alignment vertical="center" wrapText="1"/>
    </xf>
    <xf numFmtId="4" fontId="29" fillId="4" borderId="18" xfId="13" applyNumberFormat="1" applyFont="1" applyFill="1" applyBorder="1" applyAlignment="1">
      <alignment vertical="center"/>
    </xf>
    <xf numFmtId="44" fontId="0" fillId="0" borderId="0" xfId="0" applyNumberFormat="1"/>
    <xf numFmtId="4" fontId="29" fillId="7" borderId="18" xfId="13" applyNumberFormat="1" applyFont="1" applyFill="1" applyBorder="1" applyAlignment="1">
      <alignment horizontal="left" vertical="center" wrapText="1"/>
    </xf>
    <xf numFmtId="0" fontId="27" fillId="4" borderId="23" xfId="3" applyFont="1" applyFill="1" applyBorder="1" applyAlignment="1">
      <alignment horizontal="center" vertical="center"/>
    </xf>
    <xf numFmtId="0" fontId="21" fillId="4" borderId="24" xfId="3" applyFont="1" applyFill="1" applyBorder="1" applyAlignment="1">
      <alignment horizontal="center" vertical="center"/>
    </xf>
    <xf numFmtId="44" fontId="21" fillId="4" borderId="24" xfId="15" applyFont="1" applyFill="1" applyBorder="1" applyAlignment="1">
      <alignment horizontal="center" vertical="center" wrapText="1"/>
    </xf>
    <xf numFmtId="44" fontId="21" fillId="4" borderId="25" xfId="15" applyFont="1" applyFill="1" applyBorder="1" applyAlignment="1">
      <alignment horizontal="center" vertical="center" wrapText="1"/>
    </xf>
    <xf numFmtId="0" fontId="27" fillId="4" borderId="26" xfId="3" applyFont="1" applyFill="1" applyBorder="1" applyAlignment="1">
      <alignment horizontal="center"/>
    </xf>
    <xf numFmtId="0" fontId="50" fillId="4" borderId="29" xfId="3" applyFont="1" applyFill="1" applyBorder="1" applyAlignment="1">
      <alignment horizontal="right" vertical="center" indent="1"/>
    </xf>
    <xf numFmtId="165" fontId="48" fillId="4" borderId="31" xfId="3" applyNumberFormat="1" applyFont="1" applyFill="1" applyBorder="1" applyAlignment="1">
      <alignment horizontal="center"/>
    </xf>
    <xf numFmtId="165" fontId="26" fillId="4" borderId="32" xfId="3" applyNumberFormat="1" applyFont="1" applyFill="1" applyBorder="1" applyAlignment="1">
      <alignment horizontal="center"/>
    </xf>
    <xf numFmtId="0" fontId="23" fillId="4" borderId="6" xfId="3" applyNumberFormat="1" applyFont="1" applyFill="1" applyBorder="1" applyAlignment="1">
      <alignment horizontal="center" vertical="center"/>
    </xf>
    <xf numFmtId="44" fontId="23" fillId="4" borderId="6" xfId="3" applyNumberFormat="1" applyFont="1" applyFill="1" applyBorder="1" applyAlignment="1">
      <alignment horizontal="center" vertical="center"/>
    </xf>
    <xf numFmtId="44" fontId="45" fillId="4" borderId="6" xfId="15" applyFont="1" applyFill="1" applyBorder="1" applyAlignment="1">
      <alignment horizontal="center" vertical="center"/>
    </xf>
    <xf numFmtId="44" fontId="45" fillId="4" borderId="27" xfId="15" applyFont="1" applyFill="1" applyBorder="1" applyAlignment="1">
      <alignment horizontal="center" vertical="center"/>
    </xf>
    <xf numFmtId="0" fontId="23" fillId="4" borderId="6" xfId="3" applyFont="1" applyFill="1" applyBorder="1" applyAlignment="1">
      <alignment vertical="center"/>
    </xf>
    <xf numFmtId="0" fontId="24" fillId="2" borderId="9" xfId="3" applyFont="1" applyFill="1" applyBorder="1" applyAlignment="1">
      <alignment horizontal="center" vertical="center"/>
    </xf>
    <xf numFmtId="0" fontId="0" fillId="0" borderId="0" xfId="0" applyAlignment="1">
      <alignment horizontal="center" wrapText="1"/>
    </xf>
    <xf numFmtId="44" fontId="24" fillId="11" borderId="0" xfId="4" applyFont="1" applyFill="1" applyAlignment="1" applyProtection="1">
      <alignment horizontal="center" vertical="center"/>
      <protection locked="0"/>
    </xf>
    <xf numFmtId="10" fontId="34" fillId="11" borderId="0" xfId="0" applyNumberFormat="1" applyFont="1" applyFill="1" applyAlignment="1" applyProtection="1">
      <alignment horizontal="center" vertical="center" wrapText="1"/>
      <protection locked="0"/>
    </xf>
    <xf numFmtId="44" fontId="38" fillId="13" borderId="6" xfId="3" applyNumberFormat="1" applyFont="1" applyFill="1" applyBorder="1" applyAlignment="1" applyProtection="1">
      <alignment horizontal="center" vertical="center"/>
      <protection locked="0"/>
    </xf>
    <xf numFmtId="44" fontId="38" fillId="13" borderId="7" xfId="3" applyNumberFormat="1" applyFont="1" applyFill="1" applyBorder="1" applyAlignment="1" applyProtection="1">
      <alignment horizontal="center" vertical="center"/>
      <protection locked="0"/>
    </xf>
    <xf numFmtId="44" fontId="23" fillId="11" borderId="0" xfId="3" applyNumberFormat="1" applyFont="1" applyFill="1" applyAlignment="1" applyProtection="1">
      <alignment horizontal="center" vertical="center"/>
      <protection locked="0"/>
    </xf>
    <xf numFmtId="10" fontId="23" fillId="11" borderId="0" xfId="3" applyNumberFormat="1" applyFont="1" applyFill="1" applyAlignment="1" applyProtection="1">
      <alignment horizontal="center" vertical="center"/>
      <protection locked="0"/>
    </xf>
    <xf numFmtId="170" fontId="23" fillId="11" borderId="0" xfId="3" applyNumberFormat="1" applyFont="1" applyFill="1" applyAlignment="1" applyProtection="1">
      <alignment horizontal="center" vertical="center"/>
      <protection locked="0"/>
    </xf>
    <xf numFmtId="1" fontId="23" fillId="11" borderId="0" xfId="3" applyNumberFormat="1" applyFont="1" applyFill="1" applyAlignment="1" applyProtection="1">
      <alignment horizontal="center" vertical="center"/>
      <protection locked="0"/>
    </xf>
    <xf numFmtId="164" fontId="23" fillId="11" borderId="0" xfId="3" applyNumberFormat="1" applyFont="1" applyFill="1" applyAlignment="1" applyProtection="1">
      <alignment horizontal="center" vertical="center"/>
      <protection locked="0"/>
    </xf>
    <xf numFmtId="172" fontId="23" fillId="11" borderId="5" xfId="3" applyNumberFormat="1" applyFont="1" applyFill="1" applyBorder="1" applyAlignment="1" applyProtection="1">
      <alignment horizontal="center" vertical="center"/>
      <protection locked="0"/>
    </xf>
    <xf numFmtId="10" fontId="23" fillId="8" borderId="0" xfId="3" applyNumberFormat="1" applyFont="1" applyFill="1" applyAlignment="1" applyProtection="1">
      <alignment horizontal="center" vertical="center"/>
      <protection locked="0"/>
    </xf>
    <xf numFmtId="169" fontId="23" fillId="2" borderId="11" xfId="12" applyNumberFormat="1" applyFont="1" applyFill="1" applyBorder="1" applyAlignment="1" applyProtection="1">
      <alignment horizontal="center" vertical="center"/>
    </xf>
    <xf numFmtId="173" fontId="23" fillId="11" borderId="0" xfId="3" applyNumberFormat="1" applyFont="1" applyFill="1" applyAlignment="1" applyProtection="1">
      <alignment horizontal="center" vertical="center"/>
      <protection locked="0"/>
    </xf>
    <xf numFmtId="10" fontId="23" fillId="2" borderId="0" xfId="3" applyNumberFormat="1" applyFont="1" applyFill="1" applyAlignment="1">
      <alignment horizontal="center" vertical="center"/>
    </xf>
    <xf numFmtId="169" fontId="21" fillId="2" borderId="11" xfId="12" applyNumberFormat="1" applyFont="1" applyFill="1" applyBorder="1" applyAlignment="1" applyProtection="1">
      <alignment horizontal="center" vertical="center"/>
    </xf>
    <xf numFmtId="169" fontId="23" fillId="2" borderId="13" xfId="12" applyNumberFormat="1" applyFont="1" applyFill="1" applyBorder="1" applyAlignment="1" applyProtection="1">
      <alignment horizontal="center" vertical="center"/>
    </xf>
    <xf numFmtId="44" fontId="23" fillId="11" borderId="15" xfId="3" applyNumberFormat="1" applyFont="1" applyFill="1" applyBorder="1" applyAlignment="1" applyProtection="1">
      <alignment horizontal="center" vertical="center"/>
      <protection locked="0"/>
    </xf>
    <xf numFmtId="169" fontId="23" fillId="2" borderId="16" xfId="12" applyNumberFormat="1" applyFont="1" applyFill="1" applyBorder="1" applyAlignment="1" applyProtection="1">
      <alignment horizontal="center" vertical="center"/>
    </xf>
    <xf numFmtId="9" fontId="23" fillId="11" borderId="0" xfId="5" applyFont="1" applyFill="1" applyBorder="1" applyAlignment="1" applyProtection="1">
      <alignment horizontal="center" vertical="center"/>
      <protection locked="0"/>
    </xf>
    <xf numFmtId="9" fontId="23" fillId="11" borderId="0" xfId="3" applyNumberFormat="1" applyFont="1" applyFill="1" applyAlignment="1" applyProtection="1">
      <alignment horizontal="center" vertical="center"/>
      <protection locked="0"/>
    </xf>
    <xf numFmtId="171" fontId="23" fillId="8" borderId="0" xfId="3" applyNumberFormat="1" applyFont="1" applyFill="1" applyAlignment="1" applyProtection="1">
      <alignment horizontal="center" vertical="center"/>
      <protection locked="0"/>
    </xf>
    <xf numFmtId="0" fontId="24" fillId="8" borderId="38" xfId="0" applyFont="1" applyFill="1" applyBorder="1" applyAlignment="1">
      <alignment horizontal="center" vertical="center" wrapText="1"/>
    </xf>
    <xf numFmtId="178" fontId="24" fillId="8" borderId="38" xfId="0" applyNumberFormat="1" applyFont="1" applyFill="1" applyBorder="1" applyAlignment="1">
      <alignment horizontal="center" vertical="center"/>
    </xf>
    <xf numFmtId="0" fontId="24" fillId="8" borderId="38" xfId="0" applyNumberFormat="1" applyFont="1" applyFill="1" applyBorder="1" applyAlignment="1">
      <alignment horizontal="center" vertical="center"/>
    </xf>
    <xf numFmtId="0" fontId="24" fillId="8" borderId="51" xfId="0" applyFont="1" applyFill="1" applyBorder="1" applyAlignment="1">
      <alignment horizontal="center" vertical="center"/>
    </xf>
    <xf numFmtId="0" fontId="24" fillId="7" borderId="24" xfId="0" applyFont="1" applyFill="1" applyBorder="1" applyAlignment="1">
      <alignment horizontal="center" vertical="center"/>
    </xf>
    <xf numFmtId="2" fontId="24" fillId="7" borderId="24" xfId="0" applyNumberFormat="1" applyFont="1" applyFill="1" applyBorder="1" applyAlignment="1">
      <alignment horizontal="center" vertical="center"/>
    </xf>
    <xf numFmtId="178" fontId="24" fillId="7" borderId="24" xfId="0" applyNumberFormat="1" applyFont="1" applyFill="1" applyBorder="1" applyAlignment="1">
      <alignment horizontal="center" vertical="center"/>
    </xf>
    <xf numFmtId="0" fontId="24" fillId="7" borderId="25" xfId="0" applyFont="1" applyFill="1" applyBorder="1" applyAlignment="1">
      <alignment horizontal="center" vertical="center"/>
    </xf>
    <xf numFmtId="0" fontId="24" fillId="7" borderId="37" xfId="0" applyFont="1" applyFill="1" applyBorder="1" applyAlignment="1">
      <alignment horizontal="center" vertical="center"/>
    </xf>
    <xf numFmtId="2" fontId="24" fillId="7" borderId="37" xfId="0" applyNumberFormat="1" applyFont="1" applyFill="1" applyBorder="1" applyAlignment="1">
      <alignment horizontal="center" vertical="center"/>
    </xf>
    <xf numFmtId="178" fontId="24" fillId="7" borderId="37" xfId="0" applyNumberFormat="1" applyFont="1" applyFill="1" applyBorder="1" applyAlignment="1">
      <alignment horizontal="center" vertical="center"/>
    </xf>
    <xf numFmtId="0" fontId="24" fillId="7" borderId="65" xfId="0" applyFont="1" applyFill="1" applyBorder="1" applyAlignment="1">
      <alignment horizontal="center" vertical="center"/>
    </xf>
    <xf numFmtId="0" fontId="24" fillId="7" borderId="6" xfId="0" applyFont="1" applyFill="1" applyBorder="1" applyAlignment="1">
      <alignment horizontal="center" vertical="center"/>
    </xf>
    <xf numFmtId="178" fontId="24" fillId="7" borderId="6" xfId="0" applyNumberFormat="1" applyFont="1" applyFill="1" applyBorder="1" applyAlignment="1">
      <alignment horizontal="center" vertical="center"/>
    </xf>
    <xf numFmtId="2" fontId="24" fillId="7" borderId="6" xfId="0" applyNumberFormat="1" applyFont="1" applyFill="1" applyBorder="1" applyAlignment="1">
      <alignment horizontal="center" vertical="center"/>
    </xf>
    <xf numFmtId="0" fontId="24" fillId="7" borderId="38" xfId="0" applyFont="1" applyFill="1" applyBorder="1" applyAlignment="1">
      <alignment horizontal="center" vertical="center" wrapText="1"/>
    </xf>
    <xf numFmtId="0" fontId="24" fillId="7" borderId="38" xfId="0" applyFont="1" applyFill="1" applyBorder="1" applyAlignment="1">
      <alignment horizontal="center" vertical="center"/>
    </xf>
    <xf numFmtId="0" fontId="24" fillId="7" borderId="6" xfId="0" applyFont="1" applyFill="1" applyBorder="1" applyAlignment="1">
      <alignment vertical="center"/>
    </xf>
    <xf numFmtId="0" fontId="24" fillId="7" borderId="31" xfId="0" applyFont="1" applyFill="1" applyBorder="1" applyAlignment="1">
      <alignment horizontal="center" vertical="center" wrapText="1"/>
    </xf>
    <xf numFmtId="0" fontId="24" fillId="7" borderId="31" xfId="0" applyFont="1" applyFill="1" applyBorder="1" applyAlignment="1">
      <alignment horizontal="center" vertical="center"/>
    </xf>
    <xf numFmtId="2" fontId="24" fillId="7" borderId="66" xfId="0" applyNumberFormat="1" applyFont="1" applyFill="1" applyBorder="1" applyAlignment="1">
      <alignment horizontal="center" vertical="center"/>
    </xf>
    <xf numFmtId="178" fontId="24" fillId="7" borderId="31" xfId="0" applyNumberFormat="1" applyFont="1" applyFill="1" applyBorder="1" applyAlignment="1">
      <alignment horizontal="center" vertical="center"/>
    </xf>
    <xf numFmtId="2" fontId="24" fillId="7" borderId="31" xfId="0" applyNumberFormat="1" applyFont="1" applyFill="1" applyBorder="1" applyAlignment="1">
      <alignment horizontal="center" vertical="center"/>
    </xf>
    <xf numFmtId="0" fontId="24" fillId="7" borderId="31" xfId="0" applyFont="1" applyFill="1" applyBorder="1" applyAlignment="1">
      <alignment vertical="center"/>
    </xf>
    <xf numFmtId="0" fontId="24" fillId="7" borderId="67" xfId="0" applyFont="1" applyFill="1" applyBorder="1" applyAlignment="1">
      <alignment horizontal="center" vertical="center"/>
    </xf>
    <xf numFmtId="0" fontId="24" fillId="8" borderId="31" xfId="0" applyFont="1" applyFill="1" applyBorder="1" applyAlignment="1">
      <alignment horizontal="center" vertical="center"/>
    </xf>
    <xf numFmtId="2" fontId="24" fillId="8" borderId="31" xfId="0" applyNumberFormat="1" applyFont="1" applyFill="1" applyBorder="1" applyAlignment="1">
      <alignment horizontal="center" vertical="center"/>
    </xf>
    <xf numFmtId="178" fontId="24" fillId="8" borderId="31" xfId="0" applyNumberFormat="1" applyFont="1" applyFill="1" applyBorder="1" applyAlignment="1">
      <alignment horizontal="center" vertical="center"/>
    </xf>
    <xf numFmtId="0" fontId="24" fillId="8" borderId="32" xfId="0" applyFont="1" applyFill="1" applyBorder="1" applyAlignment="1">
      <alignment horizontal="center" vertical="center"/>
    </xf>
    <xf numFmtId="0" fontId="24" fillId="8" borderId="38" xfId="0" applyFont="1" applyFill="1" applyBorder="1" applyAlignment="1">
      <alignment horizontal="center" vertical="center"/>
    </xf>
    <xf numFmtId="44" fontId="23" fillId="11" borderId="6" xfId="15" applyNumberFormat="1" applyFont="1" applyFill="1" applyBorder="1" applyAlignment="1" applyProtection="1">
      <alignment horizontal="center"/>
      <protection locked="0"/>
    </xf>
    <xf numFmtId="44" fontId="49" fillId="11" borderId="6" xfId="15" applyNumberFormat="1" applyFont="1" applyFill="1" applyBorder="1" applyAlignment="1" applyProtection="1">
      <alignment horizontal="center"/>
      <protection locked="0"/>
    </xf>
    <xf numFmtId="2" fontId="23" fillId="11" borderId="0" xfId="3" applyNumberFormat="1" applyFont="1" applyFill="1" applyAlignment="1" applyProtection="1">
      <alignment horizontal="center" vertical="center"/>
      <protection locked="0"/>
    </xf>
    <xf numFmtId="0" fontId="23" fillId="11" borderId="0" xfId="3" applyNumberFormat="1" applyFont="1" applyFill="1" applyAlignment="1" applyProtection="1">
      <alignment horizontal="center" vertical="center"/>
      <protection locked="0"/>
    </xf>
    <xf numFmtId="4" fontId="21" fillId="2" borderId="42" xfId="3" applyNumberFormat="1" applyFont="1" applyFill="1" applyBorder="1" applyAlignment="1">
      <alignment vertical="center"/>
    </xf>
    <xf numFmtId="44" fontId="21" fillId="2" borderId="0" xfId="15" applyFont="1" applyFill="1" applyBorder="1" applyAlignment="1">
      <alignment vertical="center"/>
    </xf>
    <xf numFmtId="169" fontId="21" fillId="2" borderId="39" xfId="12" applyNumberFormat="1" applyFont="1" applyFill="1" applyBorder="1" applyAlignment="1" applyProtection="1">
      <alignment vertical="center" shrinkToFit="1"/>
    </xf>
    <xf numFmtId="4" fontId="23" fillId="2" borderId="42" xfId="3" applyNumberFormat="1" applyFont="1" applyFill="1" applyBorder="1" applyAlignment="1">
      <alignment vertical="center"/>
    </xf>
    <xf numFmtId="44" fontId="23" fillId="11" borderId="0" xfId="15" applyFont="1" applyFill="1" applyBorder="1" applyAlignment="1" applyProtection="1">
      <alignment horizontal="center" vertical="center"/>
      <protection locked="0"/>
    </xf>
    <xf numFmtId="169" fontId="23" fillId="2" borderId="39" xfId="12" applyNumberFormat="1" applyFont="1" applyFill="1" applyBorder="1" applyAlignment="1" applyProtection="1">
      <alignment horizontal="center" vertical="center"/>
    </xf>
    <xf numFmtId="44" fontId="23" fillId="11" borderId="0" xfId="15" applyFont="1" applyFill="1" applyBorder="1" applyAlignment="1">
      <alignment horizontal="center" vertical="center"/>
    </xf>
    <xf numFmtId="169" fontId="21" fillId="2" borderId="39" xfId="12" applyNumberFormat="1" applyFont="1" applyFill="1" applyBorder="1" applyAlignment="1" applyProtection="1">
      <alignment horizontal="center" vertical="center"/>
    </xf>
    <xf numFmtId="4" fontId="23" fillId="2" borderId="42" xfId="3" applyNumberFormat="1" applyFont="1" applyFill="1" applyBorder="1" applyAlignment="1">
      <alignment vertical="center" wrapText="1"/>
    </xf>
    <xf numFmtId="4" fontId="23" fillId="2" borderId="43" xfId="3" applyNumberFormat="1" applyFont="1" applyFill="1" applyBorder="1" applyAlignment="1">
      <alignment vertical="center"/>
    </xf>
    <xf numFmtId="4" fontId="23" fillId="11" borderId="0" xfId="3" applyNumberFormat="1" applyFont="1" applyFill="1" applyAlignment="1">
      <alignment horizontal="center" vertical="center"/>
    </xf>
    <xf numFmtId="169" fontId="23" fillId="2" borderId="44" xfId="12" applyNumberFormat="1" applyFont="1" applyFill="1" applyBorder="1" applyAlignment="1" applyProtection="1">
      <alignment horizontal="center" vertical="center"/>
    </xf>
    <xf numFmtId="4" fontId="21" fillId="2" borderId="33" xfId="3" applyNumberFormat="1" applyFont="1" applyFill="1" applyBorder="1" applyAlignment="1">
      <alignment vertical="center"/>
    </xf>
    <xf numFmtId="44" fontId="21" fillId="2" borderId="9" xfId="15" applyFont="1" applyFill="1" applyBorder="1" applyAlignment="1">
      <alignment vertical="center"/>
    </xf>
    <xf numFmtId="169" fontId="21" fillId="2" borderId="45" xfId="12" applyNumberFormat="1" applyFont="1" applyFill="1" applyBorder="1" applyAlignment="1" applyProtection="1">
      <alignment vertical="center" shrinkToFit="1"/>
    </xf>
    <xf numFmtId="0" fontId="24" fillId="2" borderId="42" xfId="3" applyFont="1" applyFill="1" applyBorder="1"/>
    <xf numFmtId="44" fontId="24" fillId="2" borderId="0" xfId="15" applyFont="1" applyFill="1" applyBorder="1"/>
    <xf numFmtId="0" fontId="24" fillId="2" borderId="39" xfId="3" applyFont="1" applyFill="1" applyBorder="1"/>
    <xf numFmtId="4" fontId="23" fillId="2" borderId="46" xfId="3" applyNumberFormat="1" applyFont="1" applyFill="1" applyBorder="1" applyAlignment="1">
      <alignment vertical="center"/>
    </xf>
    <xf numFmtId="44" fontId="23" fillId="11" borderId="15" xfId="15" applyFont="1" applyFill="1" applyBorder="1" applyAlignment="1" applyProtection="1">
      <alignment horizontal="center" vertical="center"/>
      <protection locked="0"/>
    </xf>
    <xf numFmtId="169" fontId="23" fillId="2" borderId="47" xfId="12" applyNumberFormat="1" applyFont="1" applyFill="1" applyBorder="1" applyAlignment="1" applyProtection="1">
      <alignment horizontal="center" vertical="center"/>
    </xf>
    <xf numFmtId="44" fontId="23" fillId="11" borderId="5" xfId="15" applyFont="1" applyFill="1" applyBorder="1" applyAlignment="1">
      <alignment horizontal="center" vertical="center"/>
    </xf>
    <xf numFmtId="4" fontId="21" fillId="2" borderId="43" xfId="3" applyNumberFormat="1" applyFont="1" applyFill="1" applyBorder="1" applyAlignment="1">
      <alignment vertical="center"/>
    </xf>
    <xf numFmtId="44" fontId="21" fillId="2" borderId="5" xfId="15" applyFont="1" applyFill="1" applyBorder="1" applyAlignment="1">
      <alignment vertical="center"/>
    </xf>
    <xf numFmtId="169" fontId="21" fillId="2" borderId="44" xfId="12" applyNumberFormat="1" applyFont="1" applyFill="1" applyBorder="1" applyAlignment="1" applyProtection="1">
      <alignment vertical="center" shrinkToFit="1"/>
    </xf>
    <xf numFmtId="4" fontId="21" fillId="7" borderId="42" xfId="3" applyNumberFormat="1" applyFont="1" applyFill="1" applyBorder="1" applyAlignment="1">
      <alignment vertical="center"/>
    </xf>
    <xf numFmtId="4" fontId="21" fillId="7" borderId="0" xfId="3" applyNumberFormat="1" applyFont="1" applyFill="1" applyAlignment="1">
      <alignment horizontal="center" vertical="center"/>
    </xf>
    <xf numFmtId="4" fontId="21" fillId="7" borderId="0" xfId="3" applyNumberFormat="1" applyFont="1" applyFill="1" applyAlignment="1">
      <alignment vertical="center"/>
    </xf>
    <xf numFmtId="44" fontId="21" fillId="7" borderId="0" xfId="15" applyFont="1" applyFill="1" applyBorder="1" applyAlignment="1">
      <alignment vertical="center"/>
    </xf>
    <xf numFmtId="169" fontId="21" fillId="7" borderId="39" xfId="12" applyNumberFormat="1" applyFont="1" applyFill="1" applyBorder="1" applyAlignment="1" applyProtection="1">
      <alignment vertical="center" shrinkToFit="1"/>
    </xf>
    <xf numFmtId="0" fontId="27" fillId="0" borderId="6" xfId="0" applyFont="1" applyBorder="1" applyAlignment="1">
      <alignment wrapText="1"/>
    </xf>
    <xf numFmtId="0" fontId="27" fillId="0" borderId="6" xfId="0" applyFont="1" applyBorder="1" applyAlignment="1">
      <alignment horizontal="center" vertical="center"/>
    </xf>
    <xf numFmtId="4" fontId="33" fillId="7" borderId="6" xfId="3" applyNumberFormat="1" applyFont="1" applyFill="1" applyBorder="1" applyAlignment="1">
      <alignment horizontal="center" vertical="center"/>
    </xf>
    <xf numFmtId="169" fontId="33" fillId="7" borderId="6" xfId="12" applyNumberFormat="1" applyFont="1" applyFill="1" applyBorder="1" applyAlignment="1" applyProtection="1">
      <alignment horizontal="center" vertical="center"/>
    </xf>
    <xf numFmtId="0" fontId="24" fillId="0" borderId="6" xfId="0" applyFont="1" applyBorder="1" applyAlignment="1">
      <alignment wrapText="1"/>
    </xf>
    <xf numFmtId="0" fontId="24" fillId="0" borderId="6" xfId="0" applyFont="1" applyBorder="1" applyAlignment="1">
      <alignment horizontal="center"/>
    </xf>
    <xf numFmtId="44" fontId="33" fillId="11" borderId="6" xfId="15" applyFont="1" applyFill="1" applyBorder="1" applyAlignment="1" applyProtection="1">
      <alignment vertical="center"/>
      <protection locked="0"/>
    </xf>
    <xf numFmtId="4" fontId="33" fillId="7" borderId="6" xfId="3" applyNumberFormat="1" applyFont="1" applyFill="1" applyBorder="1" applyAlignment="1">
      <alignment horizontal="center" vertical="center" wrapText="1"/>
    </xf>
    <xf numFmtId="0" fontId="24" fillId="0" borderId="38" xfId="0" applyFont="1" applyBorder="1" applyAlignment="1">
      <alignment wrapText="1"/>
    </xf>
    <xf numFmtId="0" fontId="24" fillId="0" borderId="38" xfId="0" applyFont="1" applyBorder="1" applyAlignment="1">
      <alignment horizontal="center"/>
    </xf>
    <xf numFmtId="4" fontId="33" fillId="7" borderId="38" xfId="3" applyNumberFormat="1" applyFont="1" applyFill="1" applyBorder="1" applyAlignment="1">
      <alignment horizontal="center" vertical="center"/>
    </xf>
    <xf numFmtId="169" fontId="33" fillId="7" borderId="38" xfId="12" applyNumberFormat="1" applyFont="1" applyFill="1" applyBorder="1" applyAlignment="1" applyProtection="1">
      <alignment horizontal="center" vertical="center"/>
    </xf>
    <xf numFmtId="169" fontId="34" fillId="7" borderId="6" xfId="12" applyNumberFormat="1" applyFont="1" applyFill="1" applyBorder="1" applyAlignment="1" applyProtection="1">
      <alignment horizontal="center" vertical="center"/>
    </xf>
    <xf numFmtId="4" fontId="33" fillId="7" borderId="0" xfId="3" applyNumberFormat="1" applyFont="1" applyFill="1" applyBorder="1" applyAlignment="1">
      <alignment vertical="center"/>
    </xf>
    <xf numFmtId="169" fontId="33" fillId="7" borderId="0" xfId="12" applyNumberFormat="1" applyFont="1" applyFill="1" applyBorder="1" applyAlignment="1" applyProtection="1">
      <alignment vertical="center"/>
    </xf>
    <xf numFmtId="0" fontId="33" fillId="7" borderId="6" xfId="12" applyNumberFormat="1" applyFont="1" applyFill="1" applyBorder="1" applyAlignment="1" applyProtection="1">
      <alignment horizontal="right" vertical="center"/>
    </xf>
    <xf numFmtId="4" fontId="34" fillId="7" borderId="0" xfId="3" applyNumberFormat="1" applyFont="1" applyFill="1" applyBorder="1" applyAlignment="1">
      <alignment vertical="center"/>
    </xf>
    <xf numFmtId="169" fontId="21" fillId="2" borderId="6" xfId="12" applyNumberFormat="1" applyFont="1" applyFill="1" applyBorder="1" applyAlignment="1" applyProtection="1">
      <alignment vertical="center" shrinkToFit="1"/>
    </xf>
    <xf numFmtId="0" fontId="24" fillId="2" borderId="33" xfId="3" applyFont="1" applyFill="1" applyBorder="1" applyAlignment="1">
      <alignment horizontal="center" vertical="center"/>
    </xf>
    <xf numFmtId="0" fontId="24" fillId="2" borderId="9" xfId="15" applyNumberFormat="1" applyFont="1" applyFill="1" applyBorder="1" applyAlignment="1">
      <alignment horizontal="center" vertical="center"/>
    </xf>
    <xf numFmtId="44" fontId="24" fillId="2" borderId="45" xfId="3" applyNumberFormat="1" applyFont="1" applyFill="1" applyBorder="1" applyAlignment="1">
      <alignment horizontal="center" vertical="center" wrapText="1"/>
    </xf>
    <xf numFmtId="1" fontId="24" fillId="2" borderId="0" xfId="3" applyNumberFormat="1" applyFont="1" applyFill="1" applyAlignment="1">
      <alignment horizontal="center"/>
    </xf>
    <xf numFmtId="44" fontId="24" fillId="2" borderId="0" xfId="15" applyFont="1" applyFill="1" applyBorder="1" applyAlignment="1">
      <alignment horizontal="center"/>
    </xf>
    <xf numFmtId="44" fontId="24" fillId="2" borderId="39" xfId="15" applyFont="1" applyFill="1" applyBorder="1" applyAlignment="1">
      <alignment horizontal="center"/>
    </xf>
    <xf numFmtId="44" fontId="22" fillId="2" borderId="29" xfId="15" applyFont="1" applyFill="1" applyBorder="1"/>
    <xf numFmtId="44" fontId="26" fillId="2" borderId="29" xfId="12" applyFont="1" applyFill="1" applyBorder="1" applyAlignment="1" applyProtection="1"/>
    <xf numFmtId="44" fontId="25" fillId="2" borderId="48" xfId="15" applyFont="1" applyFill="1" applyBorder="1" applyAlignment="1">
      <alignment horizontal="center"/>
    </xf>
    <xf numFmtId="44" fontId="24" fillId="0" borderId="0" xfId="0" applyNumberFormat="1" applyFont="1" applyAlignment="1">
      <alignment horizontal="center" vertical="center"/>
    </xf>
    <xf numFmtId="10" fontId="24" fillId="0" borderId="0" xfId="0" applyNumberFormat="1" applyFont="1" applyAlignment="1">
      <alignment horizontal="center" vertical="center"/>
    </xf>
    <xf numFmtId="2" fontId="24" fillId="0" borderId="0" xfId="0" applyNumberFormat="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xf>
    <xf numFmtId="1" fontId="24" fillId="0" borderId="0" xfId="0" applyNumberFormat="1" applyFont="1" applyAlignment="1">
      <alignment horizontal="center" vertical="center" wrapText="1"/>
    </xf>
    <xf numFmtId="0" fontId="24" fillId="0" borderId="0" xfId="0" applyFont="1" applyAlignment="1">
      <alignment horizontal="center"/>
    </xf>
    <xf numFmtId="0" fontId="30" fillId="0" borderId="0" xfId="2" applyFont="1" applyProtection="1"/>
    <xf numFmtId="2" fontId="30" fillId="7" borderId="0" xfId="2" applyNumberFormat="1" applyFont="1" applyFill="1" applyAlignment="1" applyProtection="1">
      <alignment horizontal="center" vertical="center"/>
    </xf>
    <xf numFmtId="2" fontId="30" fillId="0" borderId="0" xfId="2" applyNumberFormat="1" applyFont="1" applyAlignment="1" applyProtection="1">
      <alignment horizontal="center" vertical="center"/>
    </xf>
    <xf numFmtId="0" fontId="32" fillId="0" borderId="0" xfId="2" applyFont="1" applyProtection="1"/>
    <xf numFmtId="2" fontId="24" fillId="7" borderId="0" xfId="4" applyNumberFormat="1" applyFont="1" applyFill="1" applyAlignment="1" applyProtection="1">
      <alignment horizontal="center" vertical="center"/>
    </xf>
    <xf numFmtId="0" fontId="24" fillId="0" borderId="0" xfId="0" applyFont="1" applyAlignment="1" applyProtection="1">
      <alignment vertical="center"/>
    </xf>
    <xf numFmtId="0" fontId="24" fillId="0" borderId="0" xfId="0" applyFont="1" applyProtection="1"/>
    <xf numFmtId="4" fontId="38" fillId="7" borderId="6" xfId="3" applyNumberFormat="1" applyFont="1" applyFill="1" applyBorder="1" applyAlignment="1" applyProtection="1">
      <alignment horizontal="center" vertical="center"/>
    </xf>
    <xf numFmtId="4" fontId="38" fillId="7" borderId="37" xfId="3" applyNumberFormat="1" applyFont="1" applyFill="1" applyBorder="1" applyAlignment="1" applyProtection="1">
      <alignment horizontal="center" vertical="center"/>
    </xf>
    <xf numFmtId="4" fontId="38" fillId="7" borderId="7" xfId="3" applyNumberFormat="1" applyFont="1" applyFill="1" applyBorder="1" applyAlignment="1" applyProtection="1">
      <alignment horizontal="center" vertical="center"/>
    </xf>
    <xf numFmtId="0" fontId="31" fillId="0" borderId="1" xfId="3" applyFont="1" applyBorder="1" applyAlignment="1" applyProtection="1">
      <alignment horizontal="center" wrapText="1"/>
    </xf>
    <xf numFmtId="0" fontId="31" fillId="0" borderId="2" xfId="3" applyFont="1" applyBorder="1" applyAlignment="1" applyProtection="1">
      <alignment horizontal="center" wrapText="1"/>
    </xf>
    <xf numFmtId="0" fontId="31" fillId="0" borderId="3" xfId="3" applyFont="1" applyBorder="1" applyAlignment="1" applyProtection="1">
      <alignment horizontal="center" wrapText="1"/>
    </xf>
    <xf numFmtId="177" fontId="24" fillId="0" borderId="0" xfId="0" applyNumberFormat="1" applyFont="1" applyBorder="1" applyAlignment="1" applyProtection="1">
      <alignment horizontal="left"/>
    </xf>
    <xf numFmtId="0" fontId="28" fillId="0" borderId="0" xfId="3" applyFont="1" applyBorder="1" applyAlignment="1" applyProtection="1">
      <alignment horizontal="center"/>
    </xf>
    <xf numFmtId="0" fontId="28" fillId="0" borderId="39" xfId="3" applyFont="1" applyBorder="1" applyAlignment="1" applyProtection="1">
      <alignment horizontal="center"/>
    </xf>
    <xf numFmtId="4" fontId="28" fillId="0" borderId="35" xfId="3" applyNumberFormat="1" applyFont="1" applyBorder="1" applyAlignment="1" applyProtection="1">
      <alignment horizontal="center" vertical="center" wrapText="1"/>
    </xf>
    <xf numFmtId="2" fontId="28" fillId="0" borderId="36" xfId="3" applyNumberFormat="1" applyFont="1" applyBorder="1" applyAlignment="1" applyProtection="1">
      <alignment horizontal="center" vertical="center" wrapText="1"/>
    </xf>
    <xf numFmtId="4" fontId="28" fillId="0" borderId="36" xfId="3" applyNumberFormat="1" applyFont="1" applyBorder="1" applyAlignment="1" applyProtection="1">
      <alignment horizontal="center" vertical="center" wrapText="1"/>
    </xf>
    <xf numFmtId="0" fontId="28" fillId="0" borderId="36" xfId="2" applyFont="1" applyBorder="1" applyAlignment="1" applyProtection="1">
      <alignment horizontal="center" vertical="center" wrapText="1"/>
    </xf>
    <xf numFmtId="0" fontId="28" fillId="0" borderId="49" xfId="2" applyFont="1" applyBorder="1" applyAlignment="1" applyProtection="1">
      <alignment horizontal="center" vertical="center" wrapText="1"/>
    </xf>
    <xf numFmtId="0" fontId="30" fillId="10" borderId="64" xfId="2" applyFont="1" applyFill="1" applyBorder="1" applyAlignment="1" applyProtection="1">
      <alignment horizontal="center" vertical="center"/>
    </xf>
    <xf numFmtId="2" fontId="30" fillId="10" borderId="37" xfId="2" applyNumberFormat="1" applyFont="1" applyFill="1" applyBorder="1" applyAlignment="1" applyProtection="1">
      <alignment horizontal="center" vertical="center"/>
    </xf>
    <xf numFmtId="2" fontId="30" fillId="10" borderId="37" xfId="2" applyNumberFormat="1" applyFont="1" applyFill="1" applyBorder="1" applyAlignment="1" applyProtection="1">
      <alignment horizontal="center" vertical="center" wrapText="1"/>
    </xf>
    <xf numFmtId="0" fontId="30" fillId="10" borderId="37" xfId="2" applyFont="1" applyFill="1" applyBorder="1" applyAlignment="1" applyProtection="1">
      <alignment horizontal="center" vertical="center"/>
    </xf>
    <xf numFmtId="164" fontId="30" fillId="10" borderId="65" xfId="2" applyNumberFormat="1" applyFont="1" applyFill="1" applyBorder="1" applyAlignment="1" applyProtection="1">
      <alignment horizontal="center" vertical="center"/>
    </xf>
    <xf numFmtId="0" fontId="30" fillId="4" borderId="26" xfId="2" applyFont="1" applyFill="1" applyBorder="1" applyAlignment="1" applyProtection="1">
      <alignment horizontal="center" vertical="center"/>
    </xf>
    <xf numFmtId="2" fontId="30" fillId="4" borderId="6" xfId="2" applyNumberFormat="1" applyFont="1" applyFill="1" applyBorder="1" applyAlignment="1" applyProtection="1">
      <alignment horizontal="center" vertical="center"/>
    </xf>
    <xf numFmtId="2" fontId="30" fillId="4" borderId="6" xfId="2" applyNumberFormat="1" applyFont="1" applyFill="1" applyBorder="1" applyAlignment="1" applyProtection="1">
      <alignment horizontal="center" vertical="center" wrapText="1"/>
    </xf>
    <xf numFmtId="0" fontId="30" fillId="4" borderId="6" xfId="2" applyFont="1" applyFill="1" applyBorder="1" applyAlignment="1" applyProtection="1">
      <alignment horizontal="center" vertical="center"/>
    </xf>
    <xf numFmtId="164" fontId="30" fillId="4" borderId="27" xfId="2" applyNumberFormat="1" applyFont="1" applyFill="1" applyBorder="1" applyAlignment="1" applyProtection="1">
      <alignment horizontal="center" vertical="center"/>
    </xf>
    <xf numFmtId="0" fontId="30" fillId="10" borderId="26" xfId="2" applyFont="1" applyFill="1" applyBorder="1" applyAlignment="1" applyProtection="1">
      <alignment horizontal="center" vertical="center"/>
    </xf>
    <xf numFmtId="44" fontId="24" fillId="10" borderId="6" xfId="4" applyFont="1" applyFill="1" applyBorder="1" applyAlignment="1" applyProtection="1">
      <alignment horizontal="center" vertical="center"/>
    </xf>
    <xf numFmtId="44" fontId="24" fillId="10" borderId="6" xfId="4" applyFont="1" applyFill="1" applyBorder="1" applyAlignment="1" applyProtection="1">
      <alignment horizontal="center" vertical="center" wrapText="1"/>
    </xf>
    <xf numFmtId="0" fontId="30" fillId="10" borderId="6" xfId="2" applyFont="1" applyFill="1" applyBorder="1" applyAlignment="1" applyProtection="1">
      <alignment horizontal="center" vertical="center"/>
    </xf>
    <xf numFmtId="2" fontId="30" fillId="10" borderId="6" xfId="2" applyNumberFormat="1" applyFont="1" applyFill="1" applyBorder="1" applyAlignment="1" applyProtection="1">
      <alignment horizontal="center" vertical="center"/>
    </xf>
    <xf numFmtId="164" fontId="30" fillId="10" borderId="27" xfId="2" applyNumberFormat="1" applyFont="1" applyFill="1" applyBorder="1" applyAlignment="1" applyProtection="1">
      <alignment horizontal="center" vertical="center"/>
    </xf>
    <xf numFmtId="2" fontId="24" fillId="4" borderId="6" xfId="3" applyNumberFormat="1" applyFont="1" applyFill="1" applyBorder="1" applyAlignment="1" applyProtection="1">
      <alignment horizontal="center" vertical="center"/>
    </xf>
    <xf numFmtId="2" fontId="28" fillId="0" borderId="27" xfId="2" applyNumberFormat="1" applyFont="1" applyBorder="1" applyAlignment="1" applyProtection="1">
      <alignment horizontal="center" vertical="center"/>
    </xf>
    <xf numFmtId="2" fontId="28" fillId="0" borderId="32" xfId="2" applyNumberFormat="1" applyFont="1" applyBorder="1" applyAlignment="1" applyProtection="1">
      <alignment horizontal="center" vertical="center"/>
    </xf>
    <xf numFmtId="0" fontId="29" fillId="0" borderId="36" xfId="3" applyFont="1" applyBorder="1" applyAlignment="1" applyProtection="1">
      <alignment horizontal="center" vertical="center" wrapText="1"/>
    </xf>
    <xf numFmtId="3" fontId="32" fillId="12" borderId="37" xfId="2" applyNumberFormat="1" applyFont="1" applyFill="1" applyBorder="1" applyAlignment="1" applyProtection="1">
      <alignment horizontal="center" vertical="center"/>
    </xf>
    <xf numFmtId="0" fontId="32" fillId="0" borderId="37" xfId="2" applyFont="1" applyBorder="1" applyAlignment="1" applyProtection="1">
      <alignment horizontal="center" vertical="center"/>
    </xf>
    <xf numFmtId="3" fontId="32" fillId="12" borderId="6" xfId="2" applyNumberFormat="1" applyFont="1" applyFill="1" applyBorder="1" applyAlignment="1" applyProtection="1">
      <alignment horizontal="center" vertical="center"/>
    </xf>
    <xf numFmtId="0" fontId="32" fillId="0" borderId="6" xfId="2" applyFont="1" applyBorder="1" applyAlignment="1" applyProtection="1">
      <alignment horizontal="center" vertical="center"/>
    </xf>
    <xf numFmtId="2" fontId="32" fillId="12" borderId="6" xfId="2" applyNumberFormat="1" applyFont="1" applyFill="1" applyBorder="1" applyAlignment="1" applyProtection="1">
      <alignment horizontal="center" vertical="center"/>
    </xf>
    <xf numFmtId="0" fontId="40" fillId="0" borderId="6" xfId="2" applyFont="1" applyBorder="1" applyAlignment="1" applyProtection="1">
      <alignment horizontal="center" vertical="center"/>
    </xf>
    <xf numFmtId="164" fontId="41" fillId="12" borderId="6" xfId="2" applyNumberFormat="1" applyFont="1" applyFill="1" applyBorder="1" applyAlignment="1" applyProtection="1">
      <alignment horizontal="center" vertical="center"/>
    </xf>
    <xf numFmtId="0" fontId="41" fillId="0" borderId="6" xfId="2" applyFont="1" applyBorder="1" applyAlignment="1" applyProtection="1">
      <alignment horizontal="center" vertical="center"/>
    </xf>
    <xf numFmtId="164" fontId="32" fillId="12" borderId="6" xfId="2" applyNumberFormat="1" applyFont="1" applyFill="1" applyBorder="1" applyAlignment="1" applyProtection="1">
      <alignment horizontal="center" vertical="center"/>
    </xf>
    <xf numFmtId="166" fontId="32" fillId="12" borderId="6" xfId="5" applyNumberFormat="1" applyFont="1" applyFill="1" applyBorder="1" applyAlignment="1" applyProtection="1">
      <alignment horizontal="center" vertical="center"/>
    </xf>
    <xf numFmtId="0" fontId="32" fillId="12" borderId="6" xfId="5" applyNumberFormat="1" applyFont="1" applyFill="1" applyBorder="1" applyAlignment="1" applyProtection="1">
      <alignment horizontal="center" vertical="center"/>
    </xf>
    <xf numFmtId="2" fontId="41" fillId="12" borderId="6" xfId="2" applyNumberFormat="1" applyFont="1" applyFill="1" applyBorder="1" applyAlignment="1" applyProtection="1">
      <alignment horizontal="center" vertical="center"/>
    </xf>
    <xf numFmtId="2" fontId="40" fillId="12" borderId="31" xfId="2" applyNumberFormat="1" applyFont="1" applyFill="1" applyBorder="1" applyAlignment="1" applyProtection="1">
      <alignment horizontal="center" vertical="center"/>
    </xf>
    <xf numFmtId="0" fontId="40" fillId="0" borderId="31" xfId="2" applyFont="1" applyBorder="1" applyAlignment="1" applyProtection="1">
      <alignment horizontal="center" vertical="center"/>
    </xf>
    <xf numFmtId="0" fontId="24" fillId="0" borderId="0" xfId="2" applyFont="1" applyBorder="1" applyAlignment="1" applyProtection="1">
      <alignment horizontal="center"/>
    </xf>
    <xf numFmtId="0" fontId="24" fillId="0" borderId="0" xfId="2" applyFont="1" applyAlignment="1" applyProtection="1">
      <alignment horizontal="left"/>
    </xf>
    <xf numFmtId="0" fontId="30" fillId="0" borderId="0" xfId="2" applyFont="1" applyAlignment="1" applyProtection="1">
      <alignment horizontal="center"/>
    </xf>
    <xf numFmtId="0" fontId="32" fillId="0" borderId="0" xfId="2" applyFont="1" applyAlignment="1" applyProtection="1">
      <alignment horizontal="center"/>
    </xf>
    <xf numFmtId="0" fontId="28" fillId="0" borderId="68" xfId="2" applyFont="1" applyBorder="1" applyAlignment="1" applyProtection="1">
      <alignment horizontal="center" vertical="center"/>
    </xf>
    <xf numFmtId="164" fontId="28" fillId="0" borderId="70" xfId="2" applyNumberFormat="1" applyFont="1" applyBorder="1" applyAlignment="1" applyProtection="1">
      <alignment horizontal="center" vertical="center"/>
    </xf>
    <xf numFmtId="0" fontId="27" fillId="0" borderId="70" xfId="0" applyFont="1" applyBorder="1" applyAlignment="1" applyProtection="1">
      <alignment horizontal="center" vertical="center"/>
    </xf>
    <xf numFmtId="0" fontId="28" fillId="0" borderId="36" xfId="2" applyFont="1" applyBorder="1" applyAlignment="1" applyProtection="1">
      <alignment horizontal="center" vertical="center"/>
    </xf>
    <xf numFmtId="0" fontId="28" fillId="0" borderId="49" xfId="2" applyFont="1" applyBorder="1" applyAlignment="1" applyProtection="1">
      <alignment horizontal="center" vertical="center"/>
    </xf>
    <xf numFmtId="0" fontId="30" fillId="0" borderId="24" xfId="0" applyFont="1" applyBorder="1" applyAlignment="1" applyProtection="1">
      <alignment horizontal="center" vertical="center"/>
    </xf>
    <xf numFmtId="0" fontId="27" fillId="0" borderId="25" xfId="0" applyFont="1" applyBorder="1" applyAlignment="1" applyProtection="1">
      <alignment horizontal="center" vertical="center"/>
    </xf>
    <xf numFmtId="0" fontId="30" fillId="0" borderId="47" xfId="2" applyFont="1" applyBorder="1" applyAlignment="1" applyProtection="1">
      <alignment horizontal="center" vertical="center"/>
    </xf>
    <xf numFmtId="0" fontId="30" fillId="0" borderId="38" xfId="0" applyFont="1" applyBorder="1" applyAlignment="1" applyProtection="1">
      <alignment horizontal="center" vertical="center"/>
    </xf>
    <xf numFmtId="0" fontId="24" fillId="0" borderId="38" xfId="0" applyFont="1" applyBorder="1" applyAlignment="1" applyProtection="1">
      <alignment horizontal="center" vertical="center"/>
    </xf>
    <xf numFmtId="0" fontId="27" fillId="0" borderId="51" xfId="0" applyFont="1" applyBorder="1" applyAlignment="1" applyProtection="1">
      <alignment horizontal="center" vertical="center"/>
    </xf>
    <xf numFmtId="0" fontId="24" fillId="0" borderId="24" xfId="0" applyFont="1" applyBorder="1" applyAlignment="1" applyProtection="1">
      <alignment horizontal="center" vertical="center"/>
    </xf>
    <xf numFmtId="0" fontId="27" fillId="0" borderId="55" xfId="0" applyFont="1" applyBorder="1" applyAlignment="1" applyProtection="1">
      <alignment horizontal="center" vertical="center"/>
    </xf>
    <xf numFmtId="0" fontId="30" fillId="0" borderId="56" xfId="2" applyFont="1" applyBorder="1" applyAlignment="1" applyProtection="1">
      <alignment horizontal="center" vertical="center"/>
    </xf>
    <xf numFmtId="0" fontId="24"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30" fillId="0" borderId="57" xfId="2" applyFont="1" applyBorder="1" applyAlignment="1" applyProtection="1">
      <alignment horizontal="center" vertical="center"/>
    </xf>
    <xf numFmtId="0" fontId="28" fillId="0" borderId="7" xfId="0" applyFont="1" applyBorder="1" applyAlignment="1" applyProtection="1">
      <alignment horizontal="center" vertical="center"/>
    </xf>
    <xf numFmtId="0" fontId="24" fillId="0" borderId="31" xfId="0" applyFont="1" applyBorder="1" applyAlignment="1" applyProtection="1">
      <alignment horizontal="center" vertical="center"/>
    </xf>
    <xf numFmtId="0" fontId="28" fillId="0" borderId="52" xfId="0" applyFont="1" applyBorder="1" applyAlignment="1" applyProtection="1">
      <alignment horizontal="center" vertical="center"/>
    </xf>
    <xf numFmtId="0" fontId="30" fillId="0" borderId="58" xfId="2" applyFont="1" applyBorder="1" applyAlignment="1" applyProtection="1">
      <alignment horizontal="center" vertical="center"/>
    </xf>
    <xf numFmtId="0" fontId="24" fillId="0" borderId="13" xfId="0" applyFont="1" applyBorder="1" applyAlignment="1" applyProtection="1">
      <alignment horizontal="center" vertical="center"/>
    </xf>
    <xf numFmtId="0" fontId="24" fillId="0" borderId="37" xfId="0" applyFont="1" applyBorder="1" applyAlignment="1" applyProtection="1">
      <alignment horizontal="center" vertical="center"/>
    </xf>
    <xf numFmtId="0" fontId="27" fillId="0" borderId="12" xfId="0" applyFont="1" applyBorder="1" applyAlignment="1" applyProtection="1">
      <alignment horizontal="center" vertical="center"/>
    </xf>
    <xf numFmtId="0" fontId="30" fillId="0" borderId="79" xfId="2" applyFont="1" applyBorder="1" applyAlignment="1" applyProtection="1">
      <alignment horizontal="center" vertical="center"/>
    </xf>
    <xf numFmtId="0" fontId="24" fillId="0" borderId="8" xfId="0" applyFont="1" applyBorder="1" applyAlignment="1" applyProtection="1">
      <alignment horizontal="center" vertical="center"/>
    </xf>
    <xf numFmtId="0" fontId="24" fillId="0" borderId="30" xfId="0" applyFont="1" applyBorder="1" applyAlignment="1" applyProtection="1">
      <alignment horizontal="center" vertical="center"/>
    </xf>
    <xf numFmtId="0" fontId="27" fillId="0" borderId="52" xfId="0" applyFont="1" applyBorder="1" applyAlignment="1" applyProtection="1">
      <alignment horizontal="center" vertical="center"/>
    </xf>
    <xf numFmtId="0" fontId="24" fillId="0" borderId="61" xfId="0" applyFont="1" applyBorder="1" applyAlignment="1" applyProtection="1">
      <alignment horizontal="center" vertical="center"/>
    </xf>
    <xf numFmtId="0" fontId="28" fillId="0" borderId="55" xfId="0" applyFont="1" applyBorder="1" applyAlignment="1" applyProtection="1">
      <alignment horizontal="center" vertical="center"/>
    </xf>
    <xf numFmtId="0" fontId="28" fillId="0" borderId="14" xfId="0" applyFont="1" applyBorder="1" applyAlignment="1" applyProtection="1">
      <alignment horizontal="center" vertical="center"/>
    </xf>
    <xf numFmtId="0" fontId="30" fillId="0" borderId="78" xfId="2" applyFont="1" applyBorder="1" applyAlignment="1" applyProtection="1">
      <alignment horizontal="center" vertical="center"/>
    </xf>
    <xf numFmtId="0" fontId="27" fillId="0" borderId="35" xfId="0" applyFont="1" applyBorder="1" applyAlignment="1" applyProtection="1">
      <alignment horizontal="center" vertical="center"/>
    </xf>
    <xf numFmtId="0" fontId="27" fillId="0" borderId="36" xfId="0" applyFont="1" applyBorder="1" applyAlignment="1" applyProtection="1">
      <alignment horizontal="center" vertical="center"/>
    </xf>
    <xf numFmtId="2" fontId="28" fillId="0" borderId="4" xfId="2" applyNumberFormat="1" applyFont="1" applyBorder="1" applyAlignment="1" applyProtection="1">
      <alignment horizontal="center" vertical="center"/>
    </xf>
    <xf numFmtId="0" fontId="28" fillId="7" borderId="0" xfId="3" applyFont="1" applyFill="1" applyAlignment="1" applyProtection="1">
      <alignment vertical="center" wrapText="1"/>
    </xf>
    <xf numFmtId="0" fontId="28" fillId="0" borderId="0" xfId="3" applyFont="1" applyAlignment="1" applyProtection="1">
      <alignment horizontal="center" wrapText="1"/>
    </xf>
    <xf numFmtId="0" fontId="28" fillId="10" borderId="0" xfId="3" applyFont="1" applyFill="1" applyAlignment="1" applyProtection="1">
      <alignment vertical="center" wrapText="1"/>
    </xf>
    <xf numFmtId="0" fontId="51" fillId="0" borderId="0" xfId="2" applyFont="1" applyAlignment="1" applyProtection="1">
      <alignment horizontal="right"/>
    </xf>
    <xf numFmtId="0" fontId="27" fillId="8" borderId="35" xfId="0" applyFont="1" applyFill="1" applyBorder="1" applyAlignment="1" applyProtection="1">
      <alignment horizontal="center" vertical="center" wrapText="1"/>
    </xf>
    <xf numFmtId="0" fontId="27" fillId="8" borderId="36" xfId="0" applyFont="1" applyFill="1" applyBorder="1" applyAlignment="1" applyProtection="1">
      <alignment horizontal="center" vertical="center" wrapText="1"/>
    </xf>
    <xf numFmtId="1" fontId="27" fillId="8" borderId="36" xfId="0" applyNumberFormat="1" applyFont="1" applyFill="1" applyBorder="1" applyAlignment="1" applyProtection="1">
      <alignment horizontal="center" vertical="center" wrapText="1"/>
    </xf>
    <xf numFmtId="0" fontId="27" fillId="8" borderId="49" xfId="0" applyFont="1" applyFill="1" applyBorder="1" applyAlignment="1" applyProtection="1">
      <alignment horizontal="center" vertical="center" wrapText="1"/>
    </xf>
    <xf numFmtId="0" fontId="27" fillId="8" borderId="0" xfId="0" applyFont="1" applyFill="1" applyAlignment="1" applyProtection="1">
      <alignment horizontal="center" vertical="center" wrapText="1"/>
    </xf>
    <xf numFmtId="0" fontId="24" fillId="10" borderId="86" xfId="0" applyFont="1" applyFill="1" applyBorder="1" applyAlignment="1" applyProtection="1">
      <alignment horizontal="center" vertical="center"/>
    </xf>
    <xf numFmtId="0" fontId="24" fillId="10" borderId="87" xfId="0" applyFont="1" applyFill="1" applyBorder="1" applyAlignment="1" applyProtection="1">
      <alignment horizontal="center" vertical="center" wrapText="1"/>
    </xf>
    <xf numFmtId="2" fontId="24" fillId="10" borderId="87" xfId="0" applyNumberFormat="1" applyFont="1" applyFill="1" applyBorder="1" applyAlignment="1" applyProtection="1">
      <alignment horizontal="center" vertical="center" wrapText="1"/>
    </xf>
    <xf numFmtId="1" fontId="24" fillId="10" borderId="87" xfId="0" applyNumberFormat="1" applyFont="1" applyFill="1" applyBorder="1" applyAlignment="1" applyProtection="1">
      <alignment horizontal="center" vertical="center" wrapText="1"/>
    </xf>
    <xf numFmtId="2" fontId="24" fillId="10" borderId="87" xfId="0" applyNumberFormat="1" applyFont="1" applyFill="1" applyBorder="1" applyAlignment="1" applyProtection="1">
      <alignment horizontal="center" vertical="center"/>
    </xf>
    <xf numFmtId="0" fontId="24" fillId="10" borderId="81" xfId="0" applyFont="1" applyFill="1" applyBorder="1" applyAlignment="1" applyProtection="1">
      <alignment horizontal="center" vertical="center"/>
    </xf>
    <xf numFmtId="0" fontId="24" fillId="10" borderId="54" xfId="0" applyFont="1" applyFill="1" applyBorder="1" applyAlignment="1" applyProtection="1">
      <alignment horizontal="center" vertical="center" wrapText="1"/>
    </xf>
    <xf numFmtId="2" fontId="24" fillId="10" borderId="54" xfId="0" applyNumberFormat="1" applyFont="1" applyFill="1" applyBorder="1" applyAlignment="1" applyProtection="1">
      <alignment horizontal="center" vertical="center" wrapText="1"/>
    </xf>
    <xf numFmtId="1" fontId="24" fillId="10" borderId="54" xfId="0" applyNumberFormat="1" applyFont="1" applyFill="1" applyBorder="1" applyAlignment="1" applyProtection="1">
      <alignment horizontal="center" vertical="center" wrapText="1"/>
    </xf>
    <xf numFmtId="0" fontId="24" fillId="10" borderId="54" xfId="0" applyFont="1" applyFill="1" applyBorder="1" applyAlignment="1" applyProtection="1">
      <alignment horizontal="center" vertical="center"/>
    </xf>
    <xf numFmtId="0" fontId="24" fillId="10" borderId="83" xfId="0" applyFont="1" applyFill="1" applyBorder="1" applyAlignment="1" applyProtection="1">
      <alignment horizontal="center" vertical="center"/>
    </xf>
    <xf numFmtId="0" fontId="24" fillId="10" borderId="84" xfId="0" applyFont="1" applyFill="1" applyBorder="1" applyAlignment="1" applyProtection="1">
      <alignment horizontal="center" vertical="center" wrapText="1"/>
    </xf>
    <xf numFmtId="2" fontId="24" fillId="10" borderId="84" xfId="0" applyNumberFormat="1" applyFont="1" applyFill="1" applyBorder="1" applyAlignment="1" applyProtection="1">
      <alignment horizontal="center" vertical="center" wrapText="1"/>
    </xf>
    <xf numFmtId="1" fontId="24" fillId="10" borderId="84" xfId="0" applyNumberFormat="1" applyFont="1" applyFill="1" applyBorder="1" applyAlignment="1" applyProtection="1">
      <alignment horizontal="center" vertical="center" wrapText="1"/>
    </xf>
    <xf numFmtId="0" fontId="24" fillId="10" borderId="84" xfId="0" applyFont="1" applyFill="1" applyBorder="1" applyAlignment="1" applyProtection="1">
      <alignment horizontal="center" vertical="center"/>
    </xf>
    <xf numFmtId="0" fontId="24" fillId="0" borderId="89" xfId="0" applyFont="1" applyBorder="1" applyAlignment="1" applyProtection="1">
      <alignment horizontal="center" vertical="center"/>
    </xf>
    <xf numFmtId="0" fontId="24" fillId="4" borderId="90" xfId="0" applyFont="1" applyFill="1" applyBorder="1" applyAlignment="1" applyProtection="1">
      <alignment horizontal="center" vertical="center" wrapText="1"/>
    </xf>
    <xf numFmtId="0" fontId="24" fillId="0" borderId="90" xfId="0" applyFont="1" applyBorder="1" applyAlignment="1" applyProtection="1">
      <alignment horizontal="center" vertical="center" wrapText="1"/>
    </xf>
    <xf numFmtId="2" fontId="24" fillId="0" borderId="90" xfId="0" applyNumberFormat="1" applyFont="1" applyBorder="1" applyAlignment="1" applyProtection="1">
      <alignment horizontal="center" vertical="center" wrapText="1"/>
    </xf>
    <xf numFmtId="1" fontId="24" fillId="0" borderId="90" xfId="0" applyNumberFormat="1" applyFont="1" applyBorder="1" applyAlignment="1" applyProtection="1">
      <alignment horizontal="center" vertical="center" wrapText="1"/>
    </xf>
    <xf numFmtId="164" fontId="24" fillId="0" borderId="90" xfId="0" applyNumberFormat="1" applyFont="1" applyBorder="1" applyAlignment="1" applyProtection="1">
      <alignment horizontal="center" vertical="center"/>
    </xf>
    <xf numFmtId="2" fontId="24" fillId="0" borderId="90" xfId="0" applyNumberFormat="1" applyFont="1" applyBorder="1" applyAlignment="1" applyProtection="1">
      <alignment horizontal="center" vertical="center"/>
    </xf>
    <xf numFmtId="2" fontId="24" fillId="0" borderId="91" xfId="0" applyNumberFormat="1" applyFont="1" applyBorder="1" applyAlignment="1" applyProtection="1">
      <alignment horizontal="center" vertical="center"/>
    </xf>
    <xf numFmtId="2" fontId="24" fillId="10" borderId="84" xfId="0" applyNumberFormat="1" applyFont="1" applyFill="1" applyBorder="1" applyAlignment="1" applyProtection="1">
      <alignment horizontal="center" vertical="center"/>
    </xf>
    <xf numFmtId="0" fontId="24" fillId="4" borderId="86" xfId="0" applyFont="1" applyFill="1" applyBorder="1" applyAlignment="1" applyProtection="1">
      <alignment horizontal="center" vertical="center"/>
    </xf>
    <xf numFmtId="0" fontId="24" fillId="4" borderId="87" xfId="0" applyFont="1" applyFill="1" applyBorder="1" applyAlignment="1" applyProtection="1">
      <alignment horizontal="center" vertical="center" wrapText="1"/>
    </xf>
    <xf numFmtId="2" fontId="24" fillId="4" borderId="87" xfId="0" applyNumberFormat="1" applyFont="1" applyFill="1" applyBorder="1" applyAlignment="1" applyProtection="1">
      <alignment horizontal="center" vertical="center" wrapText="1"/>
    </xf>
    <xf numFmtId="1" fontId="24" fillId="4" borderId="87" xfId="0" applyNumberFormat="1" applyFont="1" applyFill="1" applyBorder="1" applyAlignment="1" applyProtection="1">
      <alignment horizontal="center" vertical="center" wrapText="1"/>
    </xf>
    <xf numFmtId="164" fontId="24" fillId="4" borderId="87" xfId="0" applyNumberFormat="1" applyFont="1" applyFill="1" applyBorder="1" applyAlignment="1" applyProtection="1">
      <alignment horizontal="center" vertical="center"/>
    </xf>
    <xf numFmtId="0" fontId="24" fillId="4" borderId="83" xfId="0" applyFont="1" applyFill="1" applyBorder="1" applyAlignment="1" applyProtection="1">
      <alignment horizontal="center" vertical="center"/>
    </xf>
    <xf numFmtId="0" fontId="24" fillId="4" borderId="84" xfId="0" applyFont="1" applyFill="1" applyBorder="1" applyAlignment="1" applyProtection="1">
      <alignment horizontal="center" vertical="center" wrapText="1"/>
    </xf>
    <xf numFmtId="2" fontId="24" fillId="4" borderId="84" xfId="0" applyNumberFormat="1" applyFont="1" applyFill="1" applyBorder="1" applyAlignment="1" applyProtection="1">
      <alignment horizontal="center" vertical="center" wrapText="1"/>
    </xf>
    <xf numFmtId="1" fontId="24" fillId="4" borderId="84" xfId="0" applyNumberFormat="1" applyFont="1" applyFill="1" applyBorder="1" applyAlignment="1" applyProtection="1">
      <alignment horizontal="center" vertical="center" wrapText="1"/>
    </xf>
    <xf numFmtId="2" fontId="24" fillId="4" borderId="84" xfId="0" applyNumberFormat="1" applyFont="1" applyFill="1" applyBorder="1" applyAlignment="1" applyProtection="1">
      <alignment horizontal="center" vertical="center"/>
    </xf>
    <xf numFmtId="0" fontId="24" fillId="10" borderId="89" xfId="0" applyFont="1" applyFill="1" applyBorder="1" applyAlignment="1" applyProtection="1">
      <alignment horizontal="center" vertical="center"/>
    </xf>
    <xf numFmtId="0" fontId="24" fillId="10" borderId="90" xfId="0" applyFont="1" applyFill="1" applyBorder="1" applyAlignment="1" applyProtection="1">
      <alignment horizontal="center" vertical="center" wrapText="1"/>
    </xf>
    <xf numFmtId="2" fontId="24" fillId="10" borderId="90" xfId="0" applyNumberFormat="1" applyFont="1" applyFill="1" applyBorder="1" applyAlignment="1" applyProtection="1">
      <alignment horizontal="center" vertical="center" wrapText="1"/>
    </xf>
    <xf numFmtId="1" fontId="24" fillId="10" borderId="90" xfId="0" applyNumberFormat="1" applyFont="1" applyFill="1" applyBorder="1" applyAlignment="1" applyProtection="1">
      <alignment horizontal="center" vertical="center" wrapText="1"/>
    </xf>
    <xf numFmtId="164" fontId="24" fillId="10" borderId="90" xfId="0" applyNumberFormat="1" applyFont="1" applyFill="1" applyBorder="1" applyAlignment="1" applyProtection="1">
      <alignment horizontal="center" vertical="center"/>
    </xf>
    <xf numFmtId="2" fontId="24" fillId="10" borderId="90" xfId="0" applyNumberFormat="1" applyFont="1" applyFill="1" applyBorder="1" applyAlignment="1" applyProtection="1">
      <alignment horizontal="center" vertical="center"/>
    </xf>
    <xf numFmtId="2" fontId="24" fillId="10" borderId="91" xfId="0" applyNumberFormat="1" applyFont="1" applyFill="1" applyBorder="1" applyAlignment="1" applyProtection="1">
      <alignment horizontal="center" vertical="center"/>
    </xf>
    <xf numFmtId="0" fontId="24" fillId="0" borderId="0" xfId="0" applyFont="1" applyAlignment="1" applyProtection="1">
      <alignment horizontal="center" vertical="center"/>
    </xf>
    <xf numFmtId="0" fontId="24" fillId="0" borderId="0" xfId="0" applyFont="1" applyAlignment="1" applyProtection="1">
      <alignment horizontal="center" vertical="center" wrapText="1"/>
    </xf>
    <xf numFmtId="2" fontId="24" fillId="0" borderId="0" xfId="0" applyNumberFormat="1" applyFont="1" applyAlignment="1" applyProtection="1">
      <alignment horizontal="center" vertical="center" wrapText="1"/>
    </xf>
    <xf numFmtId="1" fontId="27" fillId="7" borderId="74" xfId="0" applyNumberFormat="1" applyFont="1" applyFill="1" applyBorder="1" applyAlignment="1" applyProtection="1">
      <alignment horizontal="center" vertical="center"/>
    </xf>
    <xf numFmtId="1" fontId="27" fillId="0" borderId="2" xfId="0" applyNumberFormat="1" applyFont="1" applyBorder="1" applyAlignment="1" applyProtection="1">
      <alignment vertical="center" wrapText="1"/>
    </xf>
    <xf numFmtId="2" fontId="27" fillId="7" borderId="4" xfId="0" applyNumberFormat="1" applyFont="1" applyFill="1" applyBorder="1" applyAlignment="1" applyProtection="1">
      <alignment horizontal="center" vertical="center"/>
    </xf>
    <xf numFmtId="0" fontId="24" fillId="0" borderId="0" xfId="0" applyFont="1" applyAlignment="1" applyProtection="1">
      <alignment horizontal="center"/>
    </xf>
    <xf numFmtId="0" fontId="24" fillId="0" borderId="0" xfId="0" applyFont="1" applyFill="1" applyBorder="1" applyProtection="1"/>
    <xf numFmtId="10" fontId="24" fillId="0" borderId="0" xfId="0" applyNumberFormat="1" applyFont="1" applyProtection="1"/>
    <xf numFmtId="10" fontId="24" fillId="0" borderId="0" xfId="0" applyNumberFormat="1" applyFont="1" applyAlignment="1" applyProtection="1">
      <alignment horizontal="center" vertical="center" wrapText="1"/>
    </xf>
    <xf numFmtId="1" fontId="24" fillId="0" borderId="0" xfId="0" applyNumberFormat="1" applyFont="1" applyAlignment="1" applyProtection="1">
      <alignment horizontal="center" vertical="center" wrapText="1"/>
    </xf>
    <xf numFmtId="177" fontId="24" fillId="0" borderId="0" xfId="0" applyNumberFormat="1" applyFont="1" applyAlignment="1" applyProtection="1">
      <alignment horizontal="left"/>
    </xf>
    <xf numFmtId="0" fontId="29" fillId="0" borderId="66" xfId="3" applyFont="1" applyBorder="1" applyAlignment="1" applyProtection="1">
      <alignment horizontal="center" vertical="center" wrapText="1"/>
    </xf>
    <xf numFmtId="3" fontId="32" fillId="8" borderId="37" xfId="2" applyNumberFormat="1" applyFont="1" applyFill="1" applyBorder="1" applyAlignment="1" applyProtection="1">
      <alignment horizontal="center" vertical="center"/>
    </xf>
    <xf numFmtId="3" fontId="32" fillId="8" borderId="6" xfId="2" applyNumberFormat="1" applyFont="1" applyFill="1" applyBorder="1" applyAlignment="1" applyProtection="1">
      <alignment horizontal="center" vertical="center"/>
    </xf>
    <xf numFmtId="2" fontId="32" fillId="8" borderId="6" xfId="2" applyNumberFormat="1" applyFont="1" applyFill="1" applyBorder="1" applyAlignment="1" applyProtection="1">
      <alignment horizontal="center" vertical="center"/>
    </xf>
    <xf numFmtId="164" fontId="32" fillId="8" borderId="6" xfId="2" applyNumberFormat="1" applyFont="1" applyFill="1" applyBorder="1" applyAlignment="1" applyProtection="1">
      <alignment horizontal="center" vertical="center"/>
    </xf>
    <xf numFmtId="166" fontId="32" fillId="8" borderId="6" xfId="5" applyNumberFormat="1" applyFont="1" applyFill="1" applyBorder="1" applyAlignment="1" applyProtection="1">
      <alignment horizontal="center" vertical="center"/>
    </xf>
    <xf numFmtId="0" fontId="32" fillId="8" borderId="6" xfId="5" applyNumberFormat="1" applyFont="1" applyFill="1" applyBorder="1" applyAlignment="1" applyProtection="1">
      <alignment horizontal="center" vertical="center"/>
    </xf>
    <xf numFmtId="2" fontId="41" fillId="8" borderId="6" xfId="2" applyNumberFormat="1" applyFont="1" applyFill="1" applyBorder="1" applyAlignment="1" applyProtection="1">
      <alignment horizontal="center" vertical="center"/>
    </xf>
    <xf numFmtId="2" fontId="40" fillId="8" borderId="31" xfId="2" applyNumberFormat="1" applyFont="1" applyFill="1" applyBorder="1" applyAlignment="1" applyProtection="1">
      <alignment horizontal="center" vertical="center"/>
    </xf>
    <xf numFmtId="44" fontId="24" fillId="11" borderId="37" xfId="0" applyNumberFormat="1" applyFont="1" applyFill="1" applyBorder="1" applyAlignment="1" applyProtection="1">
      <alignment horizontal="center" vertical="center" wrapText="1"/>
      <protection locked="0"/>
    </xf>
    <xf numFmtId="44" fontId="24" fillId="11" borderId="6" xfId="0" applyNumberFormat="1" applyFont="1" applyFill="1" applyBorder="1" applyAlignment="1" applyProtection="1">
      <alignment horizontal="center" vertical="center" wrapText="1"/>
      <protection locked="0"/>
    </xf>
    <xf numFmtId="0" fontId="24" fillId="11" borderId="6" xfId="0" applyFont="1" applyFill="1" applyBorder="1" applyAlignment="1" applyProtection="1">
      <alignment horizontal="center" vertical="center" wrapText="1"/>
      <protection locked="0"/>
    </xf>
    <xf numFmtId="0" fontId="24" fillId="11" borderId="6" xfId="0" applyFont="1" applyFill="1" applyBorder="1" applyAlignment="1" applyProtection="1">
      <alignment horizontal="center" vertical="center"/>
      <protection locked="0"/>
    </xf>
    <xf numFmtId="165" fontId="24" fillId="11" borderId="6" xfId="0" applyNumberFormat="1" applyFont="1" applyFill="1" applyBorder="1" applyAlignment="1" applyProtection="1">
      <alignment horizontal="center" vertical="center" wrapText="1"/>
      <protection locked="0"/>
    </xf>
    <xf numFmtId="44" fontId="24" fillId="11" borderId="6" xfId="0" applyNumberFormat="1" applyFont="1" applyFill="1" applyBorder="1" applyAlignment="1" applyProtection="1">
      <alignment horizontal="center" vertical="center"/>
      <protection locked="0"/>
    </xf>
    <xf numFmtId="10" fontId="24" fillId="11" borderId="6" xfId="0" applyNumberFormat="1" applyFont="1" applyFill="1" applyBorder="1" applyAlignment="1" applyProtection="1">
      <alignment horizontal="center" vertical="center"/>
      <protection locked="0"/>
    </xf>
    <xf numFmtId="44" fontId="30" fillId="11" borderId="6" xfId="0" applyNumberFormat="1" applyFont="1" applyFill="1" applyBorder="1" applyAlignment="1" applyProtection="1">
      <alignment horizontal="center" vertical="center"/>
      <protection locked="0"/>
    </xf>
    <xf numFmtId="165" fontId="22" fillId="11" borderId="36" xfId="0" applyNumberFormat="1" applyFont="1" applyFill="1" applyBorder="1" applyAlignment="1" applyProtection="1">
      <alignment horizontal="center" vertical="center"/>
      <protection locked="0"/>
    </xf>
    <xf numFmtId="44" fontId="24" fillId="11" borderId="38" xfId="0" applyNumberFormat="1" applyFont="1" applyFill="1" applyBorder="1" applyAlignment="1" applyProtection="1">
      <alignment horizontal="center" vertical="center"/>
      <protection locked="0"/>
    </xf>
    <xf numFmtId="0" fontId="24" fillId="11" borderId="6" xfId="0" applyNumberFormat="1" applyFont="1" applyFill="1" applyBorder="1" applyAlignment="1" applyProtection="1">
      <alignment horizontal="center" vertical="center"/>
      <protection locked="0"/>
    </xf>
    <xf numFmtId="44" fontId="22" fillId="11" borderId="70" xfId="0" applyNumberFormat="1" applyFont="1" applyFill="1" applyBorder="1" applyAlignment="1" applyProtection="1">
      <alignment horizontal="center" vertical="center"/>
      <protection locked="0"/>
    </xf>
    <xf numFmtId="165" fontId="26" fillId="11" borderId="24" xfId="0" applyNumberFormat="1" applyFont="1" applyFill="1" applyBorder="1" applyAlignment="1" applyProtection="1">
      <alignment horizontal="center" vertical="center"/>
      <protection locked="0"/>
    </xf>
    <xf numFmtId="165" fontId="26" fillId="11" borderId="31" xfId="0" applyNumberFormat="1" applyFont="1" applyFill="1" applyBorder="1" applyAlignment="1" applyProtection="1">
      <alignment horizontal="center" vertical="center"/>
      <protection locked="0"/>
    </xf>
    <xf numFmtId="165" fontId="24" fillId="11" borderId="6" xfId="0" applyNumberFormat="1" applyFont="1" applyFill="1" applyBorder="1" applyAlignment="1" applyProtection="1">
      <alignment horizontal="center" vertical="center"/>
      <protection locked="0"/>
    </xf>
    <xf numFmtId="165" fontId="24" fillId="11" borderId="38" xfId="0" applyNumberFormat="1" applyFont="1" applyFill="1" applyBorder="1" applyAlignment="1" applyProtection="1">
      <alignment horizontal="center" vertical="center"/>
      <protection locked="0"/>
    </xf>
    <xf numFmtId="0" fontId="24" fillId="11" borderId="24" xfId="0" applyFont="1" applyFill="1" applyBorder="1" applyAlignment="1" applyProtection="1">
      <alignment horizontal="center" vertical="center"/>
      <protection locked="0"/>
    </xf>
    <xf numFmtId="0" fontId="24" fillId="11" borderId="37" xfId="0" applyFont="1" applyFill="1" applyBorder="1" applyAlignment="1" applyProtection="1">
      <alignment horizontal="center" vertical="center"/>
      <protection locked="0"/>
    </xf>
    <xf numFmtId="44" fontId="24" fillId="11" borderId="6" xfId="0" applyNumberFormat="1" applyFont="1" applyFill="1" applyBorder="1" applyAlignment="1" applyProtection="1">
      <alignment vertical="center" wrapText="1"/>
      <protection locked="0"/>
    </xf>
    <xf numFmtId="4" fontId="30" fillId="0" borderId="0" xfId="3" applyNumberFormat="1" applyFont="1" applyAlignment="1" applyProtection="1">
      <alignment horizontal="center" vertical="center" wrapText="1"/>
    </xf>
    <xf numFmtId="2" fontId="30" fillId="0" borderId="0" xfId="3" applyNumberFormat="1" applyFont="1" applyAlignment="1" applyProtection="1">
      <alignment horizontal="center" vertical="center" wrapText="1"/>
    </xf>
    <xf numFmtId="0" fontId="24" fillId="0" borderId="0" xfId="3" applyFont="1" applyProtection="1"/>
    <xf numFmtId="0" fontId="30" fillId="0" borderId="0" xfId="2" applyFont="1" applyAlignment="1" applyProtection="1">
      <alignment vertical="center"/>
    </xf>
    <xf numFmtId="0" fontId="27" fillId="0" borderId="0" xfId="0" applyFont="1" applyProtection="1"/>
    <xf numFmtId="0" fontId="33" fillId="0" borderId="0" xfId="0" applyFont="1" applyAlignment="1" applyProtection="1">
      <alignment horizontal="center" vertical="center" wrapText="1"/>
    </xf>
    <xf numFmtId="10" fontId="30" fillId="11" borderId="27" xfId="0" applyNumberFormat="1" applyFont="1" applyFill="1" applyBorder="1" applyAlignment="1" applyProtection="1">
      <alignment horizontal="center" vertical="center"/>
      <protection locked="0"/>
    </xf>
    <xf numFmtId="10" fontId="30" fillId="11" borderId="51" xfId="0" applyNumberFormat="1" applyFont="1" applyFill="1" applyBorder="1" applyAlignment="1" applyProtection="1">
      <alignment horizontal="center" vertical="center"/>
      <protection locked="0"/>
    </xf>
    <xf numFmtId="4" fontId="31" fillId="0" borderId="42" xfId="0" applyNumberFormat="1" applyFont="1" applyBorder="1" applyAlignment="1" applyProtection="1">
      <alignment vertical="center" wrapText="1"/>
    </xf>
    <xf numFmtId="0" fontId="24" fillId="0" borderId="39" xfId="0" applyFont="1" applyBorder="1" applyProtection="1"/>
    <xf numFmtId="175" fontId="28" fillId="0" borderId="17" xfId="0" applyNumberFormat="1" applyFont="1" applyBorder="1" applyAlignment="1" applyProtection="1">
      <alignment horizontal="left" vertical="center"/>
    </xf>
    <xf numFmtId="4" fontId="30" fillId="0" borderId="19" xfId="0" applyNumberFormat="1" applyFont="1" applyBorder="1" applyAlignment="1" applyProtection="1">
      <alignment vertical="center"/>
    </xf>
    <xf numFmtId="4" fontId="30" fillId="0" borderId="33" xfId="0" applyNumberFormat="1" applyFont="1" applyBorder="1" applyAlignment="1" applyProtection="1">
      <alignment horizontal="left" vertical="center"/>
    </xf>
    <xf numFmtId="4" fontId="28" fillId="0" borderId="28" xfId="0" applyNumberFormat="1" applyFont="1" applyBorder="1" applyAlignment="1" applyProtection="1">
      <alignment horizontal="center" vertical="center"/>
    </xf>
    <xf numFmtId="10" fontId="28" fillId="0" borderId="32" xfId="0" applyNumberFormat="1" applyFont="1" applyBorder="1" applyAlignment="1" applyProtection="1">
      <alignment horizontal="center" vertical="center"/>
    </xf>
    <xf numFmtId="4" fontId="28" fillId="0" borderId="42" xfId="0" applyNumberFormat="1" applyFont="1" applyBorder="1" applyAlignment="1" applyProtection="1">
      <alignment vertical="center"/>
    </xf>
    <xf numFmtId="10" fontId="28" fillId="0" borderId="39" xfId="0" applyNumberFormat="1" applyFont="1" applyBorder="1" applyAlignment="1" applyProtection="1">
      <alignment horizontal="right" vertical="center"/>
    </xf>
    <xf numFmtId="4" fontId="30" fillId="0" borderId="46" xfId="0" applyNumberFormat="1" applyFont="1" applyBorder="1" applyAlignment="1" applyProtection="1">
      <alignment horizontal="left" vertical="center"/>
    </xf>
    <xf numFmtId="10" fontId="30" fillId="0" borderId="19" xfId="0" applyNumberFormat="1" applyFont="1" applyBorder="1" applyAlignment="1" applyProtection="1">
      <alignment horizontal="right" vertical="center"/>
    </xf>
    <xf numFmtId="0" fontId="33" fillId="0" borderId="39" xfId="0" applyFont="1" applyBorder="1" applyProtection="1"/>
    <xf numFmtId="175" fontId="28" fillId="0" borderId="34" xfId="0" applyNumberFormat="1" applyFont="1" applyBorder="1" applyAlignment="1" applyProtection="1">
      <alignment horizontal="left" vertical="center"/>
    </xf>
    <xf numFmtId="4" fontId="30" fillId="0" borderId="33" xfId="0" applyNumberFormat="1" applyFont="1" applyBorder="1" applyAlignment="1" applyProtection="1">
      <alignment horizontal="left" vertical="center" wrapText="1"/>
    </xf>
    <xf numFmtId="4" fontId="30" fillId="0" borderId="46" xfId="0" applyNumberFormat="1" applyFont="1" applyBorder="1" applyAlignment="1" applyProtection="1">
      <alignment horizontal="left" vertical="center" wrapText="1"/>
    </xf>
    <xf numFmtId="10" fontId="28" fillId="4" borderId="32" xfId="0" applyNumberFormat="1" applyFont="1" applyFill="1" applyBorder="1" applyAlignment="1" applyProtection="1">
      <alignment horizontal="center" vertical="center"/>
    </xf>
    <xf numFmtId="4" fontId="30" fillId="0" borderId="42" xfId="0" applyNumberFormat="1" applyFont="1" applyBorder="1" applyAlignment="1" applyProtection="1">
      <alignment vertical="center"/>
    </xf>
    <xf numFmtId="10" fontId="30" fillId="0" borderId="39" xfId="0" applyNumberFormat="1" applyFont="1" applyBorder="1" applyAlignment="1" applyProtection="1">
      <alignment horizontal="right" vertical="center"/>
    </xf>
    <xf numFmtId="4" fontId="28" fillId="0" borderId="23" xfId="0" applyNumberFormat="1" applyFont="1" applyBorder="1" applyAlignment="1" applyProtection="1">
      <alignment vertical="center"/>
    </xf>
    <xf numFmtId="10" fontId="28" fillId="0" borderId="25" xfId="0" applyNumberFormat="1" applyFont="1" applyBorder="1" applyAlignment="1" applyProtection="1">
      <alignment horizontal="center" vertical="center"/>
    </xf>
    <xf numFmtId="4" fontId="35" fillId="0" borderId="20" xfId="0" applyNumberFormat="1" applyFont="1" applyBorder="1" applyAlignment="1" applyProtection="1">
      <alignment vertical="center"/>
    </xf>
    <xf numFmtId="0" fontId="33" fillId="0" borderId="22" xfId="0" applyFont="1" applyBorder="1" applyProtection="1"/>
    <xf numFmtId="4" fontId="36" fillId="0" borderId="42" xfId="3" applyNumberFormat="1" applyFont="1" applyBorder="1" applyAlignment="1" applyProtection="1">
      <alignment horizontal="center" vertical="center"/>
    </xf>
    <xf numFmtId="4" fontId="36" fillId="0" borderId="0" xfId="3" applyNumberFormat="1" applyFont="1" applyAlignment="1" applyProtection="1">
      <alignment horizontal="center" vertical="center"/>
    </xf>
    <xf numFmtId="0" fontId="33" fillId="0" borderId="39" xfId="3" applyFont="1" applyBorder="1" applyProtection="1"/>
    <xf numFmtId="4" fontId="38" fillId="0" borderId="6" xfId="3" applyNumberFormat="1" applyFont="1" applyBorder="1" applyAlignment="1" applyProtection="1">
      <alignment horizontal="center" vertical="center"/>
    </xf>
    <xf numFmtId="4" fontId="38" fillId="0" borderId="27" xfId="3" applyNumberFormat="1" applyFont="1" applyBorder="1" applyAlignment="1" applyProtection="1">
      <alignment horizontal="center" vertical="center"/>
    </xf>
    <xf numFmtId="175" fontId="38" fillId="0" borderId="42" xfId="3" applyNumberFormat="1" applyFont="1" applyBorder="1" applyAlignment="1" applyProtection="1">
      <alignment vertical="center"/>
    </xf>
    <xf numFmtId="175" fontId="38" fillId="0" borderId="0" xfId="3" applyNumberFormat="1" applyFont="1" applyAlignment="1" applyProtection="1">
      <alignment vertical="center"/>
    </xf>
    <xf numFmtId="175" fontId="38" fillId="0" borderId="39" xfId="3" applyNumberFormat="1" applyFont="1" applyBorder="1" applyAlignment="1" applyProtection="1">
      <alignment vertical="center"/>
    </xf>
    <xf numFmtId="4" fontId="38" fillId="0" borderId="7" xfId="3" applyNumberFormat="1" applyFont="1" applyBorder="1" applyAlignment="1" applyProtection="1">
      <alignment horizontal="center" vertical="center"/>
    </xf>
    <xf numFmtId="49" fontId="27" fillId="7" borderId="14" xfId="0" applyNumberFormat="1" applyFont="1" applyFill="1" applyBorder="1" applyAlignment="1" applyProtection="1">
      <alignment horizontal="left" vertical="center"/>
    </xf>
    <xf numFmtId="49" fontId="27" fillId="7" borderId="10" xfId="0" applyNumberFormat="1" applyFont="1" applyFill="1" applyBorder="1" applyAlignment="1" applyProtection="1">
      <alignment horizontal="left" vertical="center"/>
    </xf>
    <xf numFmtId="49" fontId="27" fillId="7" borderId="10" xfId="0" applyNumberFormat="1" applyFont="1" applyFill="1" applyBorder="1" applyAlignment="1" applyProtection="1">
      <alignment vertical="center"/>
    </xf>
    <xf numFmtId="0" fontId="27" fillId="7" borderId="12" xfId="0" applyFont="1" applyFill="1" applyBorder="1" applyAlignment="1" applyProtection="1">
      <alignment vertical="center"/>
    </xf>
    <xf numFmtId="10" fontId="24" fillId="0" borderId="16" xfId="0" applyNumberFormat="1" applyFont="1" applyBorder="1" applyProtection="1"/>
    <xf numFmtId="10" fontId="24" fillId="0" borderId="11" xfId="0" applyNumberFormat="1" applyFont="1" applyBorder="1" applyProtection="1"/>
    <xf numFmtId="0" fontId="27" fillId="8" borderId="5" xfId="0" applyFont="1" applyFill="1" applyBorder="1" applyProtection="1"/>
    <xf numFmtId="0" fontId="27" fillId="8" borderId="13" xfId="0" applyFont="1" applyFill="1" applyBorder="1" applyProtection="1"/>
    <xf numFmtId="10" fontId="24" fillId="0" borderId="0" xfId="1" applyNumberFormat="1" applyFont="1" applyBorder="1" applyProtection="1"/>
    <xf numFmtId="10" fontId="24" fillId="0" borderId="11" xfId="1" applyNumberFormat="1" applyFont="1" applyBorder="1" applyProtection="1"/>
    <xf numFmtId="10" fontId="27" fillId="0" borderId="9" xfId="1" applyNumberFormat="1" applyFont="1" applyBorder="1" applyProtection="1"/>
    <xf numFmtId="10" fontId="27" fillId="0" borderId="8" xfId="1" applyNumberFormat="1" applyFont="1" applyBorder="1" applyProtection="1"/>
    <xf numFmtId="0" fontId="55" fillId="0" borderId="10" xfId="0" applyFont="1" applyBorder="1" applyAlignment="1" applyProtection="1">
      <alignment horizontal="center" vertical="center" wrapText="1"/>
    </xf>
    <xf numFmtId="0" fontId="55" fillId="0" borderId="0" xfId="0" applyFont="1" applyAlignment="1" applyProtection="1">
      <alignment horizontal="center" vertical="center" wrapText="1"/>
    </xf>
    <xf numFmtId="0" fontId="55" fillId="0" borderId="11" xfId="0" applyFont="1" applyBorder="1" applyAlignment="1" applyProtection="1">
      <alignment horizontal="center" vertical="center" wrapText="1"/>
    </xf>
    <xf numFmtId="0" fontId="55" fillId="0" borderId="10" xfId="0" applyFont="1" applyBorder="1" applyAlignment="1" applyProtection="1">
      <alignment vertical="center" wrapText="1"/>
    </xf>
    <xf numFmtId="0" fontId="55" fillId="0" borderId="0" xfId="0" applyFont="1" applyAlignment="1" applyProtection="1">
      <alignment horizontal="right" vertical="center" wrapText="1"/>
    </xf>
    <xf numFmtId="0" fontId="55" fillId="0" borderId="0" xfId="0" applyFont="1" applyAlignment="1" applyProtection="1">
      <alignment vertical="center" wrapText="1"/>
    </xf>
    <xf numFmtId="0" fontId="55" fillId="0" borderId="11" xfId="0" applyFont="1" applyBorder="1" applyAlignment="1" applyProtection="1">
      <alignment vertical="center" wrapText="1"/>
    </xf>
    <xf numFmtId="0" fontId="55" fillId="0" borderId="10" xfId="0" applyFont="1" applyBorder="1" applyProtection="1"/>
    <xf numFmtId="0" fontId="55" fillId="0" borderId="0" xfId="0" applyFont="1" applyProtection="1"/>
    <xf numFmtId="0" fontId="55" fillId="0" borderId="11" xfId="0" applyFont="1" applyBorder="1" applyProtection="1"/>
    <xf numFmtId="0" fontId="24" fillId="0" borderId="12" xfId="0" applyFont="1" applyBorder="1" applyProtection="1"/>
    <xf numFmtId="0" fontId="24" fillId="0" borderId="5" xfId="0" applyFont="1" applyBorder="1" applyProtection="1"/>
    <xf numFmtId="0" fontId="24" fillId="0" borderId="13" xfId="0" applyFont="1" applyBorder="1" applyProtection="1"/>
    <xf numFmtId="44" fontId="38" fillId="0" borderId="27" xfId="3" applyNumberFormat="1" applyFont="1" applyBorder="1" applyAlignment="1" applyProtection="1">
      <alignment horizontal="center" vertical="center"/>
    </xf>
    <xf numFmtId="44" fontId="37" fillId="0" borderId="27" xfId="3" applyNumberFormat="1" applyFont="1" applyBorder="1" applyAlignment="1" applyProtection="1">
      <alignment horizontal="center" vertical="center"/>
    </xf>
    <xf numFmtId="44" fontId="37" fillId="0" borderId="32" xfId="3" applyNumberFormat="1" applyFont="1" applyBorder="1" applyAlignment="1" applyProtection="1">
      <alignment horizontal="center" vertical="center"/>
    </xf>
    <xf numFmtId="0" fontId="24" fillId="0" borderId="0" xfId="0" applyFont="1" applyBorder="1" applyProtection="1"/>
    <xf numFmtId="0" fontId="24" fillId="0" borderId="0" xfId="0" applyFont="1" applyBorder="1" applyAlignment="1" applyProtection="1">
      <alignment horizontal="center" vertical="center"/>
    </xf>
    <xf numFmtId="0" fontId="27" fillId="0" borderId="49" xfId="0" applyFont="1" applyBorder="1" applyAlignment="1" applyProtection="1">
      <alignment horizontal="center" vertical="center"/>
    </xf>
    <xf numFmtId="0" fontId="24" fillId="0" borderId="37" xfId="0" applyFont="1" applyBorder="1" applyAlignment="1" applyProtection="1">
      <alignment horizontal="center" vertical="center" wrapText="1"/>
    </xf>
    <xf numFmtId="0" fontId="24" fillId="0" borderId="65" xfId="0" applyFont="1" applyBorder="1" applyAlignment="1" applyProtection="1">
      <alignment horizontal="center" vertical="center" wrapText="1"/>
    </xf>
    <xf numFmtId="0" fontId="24" fillId="0" borderId="6" xfId="0" applyFont="1" applyBorder="1" applyAlignment="1" applyProtection="1">
      <alignment horizontal="center" vertical="center" wrapText="1"/>
    </xf>
    <xf numFmtId="0" fontId="24" fillId="0" borderId="27" xfId="0" applyFont="1" applyBorder="1" applyAlignment="1" applyProtection="1">
      <alignment horizontal="center" vertical="center" wrapText="1"/>
    </xf>
    <xf numFmtId="0" fontId="24" fillId="0" borderId="27" xfId="0" applyFont="1" applyBorder="1" applyAlignment="1" applyProtection="1">
      <alignment horizontal="center" vertical="center"/>
    </xf>
    <xf numFmtId="0" fontId="24" fillId="0" borderId="51" xfId="0" applyFont="1" applyBorder="1" applyAlignment="1" applyProtection="1">
      <alignment horizontal="center" vertical="center"/>
    </xf>
    <xf numFmtId="0" fontId="24" fillId="0" borderId="38" xfId="0" applyFont="1" applyBorder="1" applyAlignment="1" applyProtection="1">
      <alignment horizontal="center" vertical="center" wrapText="1"/>
    </xf>
    <xf numFmtId="0" fontId="24" fillId="0" borderId="51" xfId="0" applyFont="1" applyBorder="1" applyAlignment="1" applyProtection="1">
      <alignment horizontal="center" vertical="center" wrapText="1"/>
    </xf>
    <xf numFmtId="0" fontId="22" fillId="0" borderId="36" xfId="0" applyFont="1" applyBorder="1" applyAlignment="1" applyProtection="1">
      <alignment horizontal="center" vertical="center"/>
    </xf>
    <xf numFmtId="0" fontId="22" fillId="0" borderId="49" xfId="0" applyFont="1" applyBorder="1" applyAlignment="1" applyProtection="1">
      <alignment horizontal="center" vertical="center" wrapText="1"/>
    </xf>
    <xf numFmtId="0" fontId="30" fillId="0" borderId="65" xfId="0" applyFont="1" applyBorder="1" applyAlignment="1" applyProtection="1">
      <alignment horizontal="center" vertical="center" wrapText="1"/>
    </xf>
    <xf numFmtId="0" fontId="30" fillId="0" borderId="27"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4" fillId="8" borderId="6" xfId="0" applyNumberFormat="1" applyFont="1" applyFill="1" applyBorder="1" applyAlignment="1" applyProtection="1">
      <alignment horizontal="center" vertical="center"/>
    </xf>
    <xf numFmtId="0" fontId="22" fillId="0" borderId="70" xfId="0" applyFont="1" applyBorder="1" applyAlignment="1" applyProtection="1">
      <alignment horizontal="center" vertical="center"/>
    </xf>
    <xf numFmtId="0" fontId="22" fillId="0" borderId="76" xfId="0" applyFont="1" applyBorder="1" applyAlignment="1" applyProtection="1">
      <alignment horizontal="center" vertical="center"/>
    </xf>
    <xf numFmtId="0" fontId="26" fillId="12" borderId="24" xfId="0" applyFont="1" applyFill="1" applyBorder="1" applyAlignment="1" applyProtection="1">
      <alignment horizontal="center" vertical="center"/>
    </xf>
    <xf numFmtId="0" fontId="26" fillId="12" borderId="25" xfId="0" applyFont="1" applyFill="1" applyBorder="1" applyAlignment="1" applyProtection="1">
      <alignment horizontal="center" vertical="center" wrapText="1"/>
    </xf>
    <xf numFmtId="0" fontId="26" fillId="12" borderId="31" xfId="0" applyFont="1" applyFill="1" applyBorder="1" applyAlignment="1" applyProtection="1">
      <alignment horizontal="center" vertical="center"/>
    </xf>
    <xf numFmtId="0" fontId="26" fillId="12" borderId="32" xfId="0" applyFont="1" applyFill="1" applyBorder="1" applyAlignment="1" applyProtection="1">
      <alignment horizontal="center" vertical="center"/>
    </xf>
    <xf numFmtId="0" fontId="24" fillId="0" borderId="65"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0" fontId="24" fillId="0" borderId="51"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30" fillId="0" borderId="65"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22" fillId="0" borderId="76" xfId="0" applyFont="1" applyBorder="1" applyAlignment="1" applyProtection="1">
      <alignment horizontal="center" vertical="center"/>
      <protection locked="0"/>
    </xf>
    <xf numFmtId="0" fontId="26" fillId="12" borderId="25" xfId="0" applyFont="1" applyFill="1" applyBorder="1" applyAlignment="1" applyProtection="1">
      <alignment horizontal="center" vertical="center" wrapText="1"/>
      <protection locked="0"/>
    </xf>
    <xf numFmtId="0" fontId="26" fillId="12" borderId="32" xfId="0" applyFont="1" applyFill="1" applyBorder="1" applyAlignment="1" applyProtection="1">
      <alignment horizontal="center" vertical="center"/>
      <protection locked="0"/>
    </xf>
    <xf numFmtId="2" fontId="24" fillId="8" borderId="6" xfId="0" applyNumberFormat="1" applyFont="1" applyFill="1" applyBorder="1" applyAlignment="1" applyProtection="1">
      <alignment horizontal="center" vertical="center" wrapText="1"/>
    </xf>
    <xf numFmtId="0" fontId="24" fillId="0" borderId="27" xfId="0" applyFont="1" applyBorder="1" applyAlignment="1" applyProtection="1">
      <alignment vertical="center" wrapText="1"/>
    </xf>
    <xf numFmtId="0" fontId="24" fillId="0" borderId="65" xfId="0" applyFont="1" applyBorder="1" applyAlignment="1" applyProtection="1">
      <alignment vertical="center" wrapText="1"/>
    </xf>
    <xf numFmtId="2" fontId="24" fillId="8" borderId="6" xfId="0" applyNumberFormat="1" applyFont="1" applyFill="1" applyBorder="1" applyAlignment="1" applyProtection="1">
      <alignment horizontal="center" vertical="center"/>
    </xf>
    <xf numFmtId="0" fontId="24" fillId="0" borderId="27" xfId="0" applyFont="1" applyBorder="1" applyAlignment="1" applyProtection="1">
      <alignment vertical="center" wrapText="1"/>
      <protection locked="0"/>
    </xf>
    <xf numFmtId="0" fontId="24" fillId="0" borderId="65" xfId="0" applyFont="1" applyBorder="1" applyAlignment="1" applyProtection="1">
      <alignment vertical="center" wrapText="1"/>
      <protection locked="0"/>
    </xf>
    <xf numFmtId="0" fontId="0" fillId="0" borderId="6" xfId="0" applyBorder="1" applyAlignment="1">
      <alignment horizontal="center" vertical="center"/>
    </xf>
    <xf numFmtId="0" fontId="24" fillId="4" borderId="99" xfId="0" applyFont="1" applyFill="1" applyBorder="1"/>
    <xf numFmtId="0" fontId="24" fillId="0" borderId="100" xfId="0" applyFont="1" applyBorder="1"/>
    <xf numFmtId="0" fontId="19" fillId="0" borderId="6" xfId="0" applyFont="1" applyBorder="1" applyAlignment="1">
      <alignment horizontal="center" vertical="center"/>
    </xf>
    <xf numFmtId="0" fontId="0" fillId="0" borderId="99" xfId="0" applyBorder="1"/>
    <xf numFmtId="0" fontId="0" fillId="0" borderId="100" xfId="0" applyBorder="1"/>
    <xf numFmtId="0" fontId="0" fillId="0" borderId="101" xfId="0" applyBorder="1"/>
    <xf numFmtId="0" fontId="24" fillId="0" borderId="102" xfId="0" applyFont="1" applyBorder="1"/>
    <xf numFmtId="0" fontId="24" fillId="0" borderId="103" xfId="0" applyFont="1" applyBorder="1"/>
    <xf numFmtId="0" fontId="24" fillId="0" borderId="101" xfId="0" applyFont="1" applyBorder="1"/>
    <xf numFmtId="4" fontId="21" fillId="2" borderId="0" xfId="3" applyNumberFormat="1" applyFont="1" applyFill="1" applyAlignment="1" applyProtection="1">
      <alignment vertical="center"/>
    </xf>
    <xf numFmtId="4" fontId="21" fillId="2" borderId="0" xfId="3" applyNumberFormat="1" applyFont="1" applyFill="1" applyAlignment="1" applyProtection="1">
      <alignment horizontal="center" vertical="center"/>
    </xf>
    <xf numFmtId="4" fontId="23" fillId="2" borderId="10" xfId="3" applyNumberFormat="1" applyFont="1" applyFill="1" applyBorder="1" applyAlignment="1" applyProtection="1">
      <alignment vertical="center"/>
    </xf>
    <xf numFmtId="4" fontId="23" fillId="2" borderId="0" xfId="3" applyNumberFormat="1" applyFont="1" applyFill="1" applyAlignment="1" applyProtection="1">
      <alignment horizontal="center" vertical="center"/>
    </xf>
    <xf numFmtId="44" fontId="23" fillId="11" borderId="0" xfId="3" applyNumberFormat="1" applyFont="1" applyFill="1" applyAlignment="1" applyProtection="1">
      <alignment horizontal="center" vertical="center"/>
    </xf>
    <xf numFmtId="10" fontId="23" fillId="8" borderId="0" xfId="3" applyNumberFormat="1" applyFont="1" applyFill="1" applyAlignment="1" applyProtection="1">
      <alignment horizontal="center" vertical="center"/>
    </xf>
    <xf numFmtId="4" fontId="21" fillId="2" borderId="10" xfId="3" applyNumberFormat="1" applyFont="1" applyFill="1" applyBorder="1" applyAlignment="1" applyProtection="1">
      <alignment vertical="center"/>
    </xf>
    <xf numFmtId="4" fontId="23" fillId="2" borderId="10" xfId="3" applyNumberFormat="1" applyFont="1" applyFill="1" applyBorder="1" applyAlignment="1" applyProtection="1">
      <alignment vertical="center" wrapText="1"/>
    </xf>
    <xf numFmtId="4" fontId="23" fillId="2" borderId="0" xfId="3" applyNumberFormat="1" applyFont="1" applyFill="1" applyAlignment="1" applyProtection="1">
      <alignment vertical="center" wrapText="1"/>
    </xf>
    <xf numFmtId="171" fontId="23" fillId="8" borderId="0" xfId="3" applyNumberFormat="1" applyFont="1" applyFill="1" applyAlignment="1" applyProtection="1">
      <alignment horizontal="center" vertical="center"/>
    </xf>
    <xf numFmtId="4" fontId="23" fillId="2" borderId="12" xfId="3" applyNumberFormat="1" applyFont="1" applyFill="1" applyBorder="1" applyAlignment="1" applyProtection="1">
      <alignment vertical="center"/>
    </xf>
    <xf numFmtId="4" fontId="23" fillId="2" borderId="5" xfId="3" applyNumberFormat="1" applyFont="1" applyFill="1" applyBorder="1" applyAlignment="1" applyProtection="1">
      <alignment horizontal="center" vertical="center"/>
    </xf>
    <xf numFmtId="4" fontId="21" fillId="2" borderId="7" xfId="3" applyNumberFormat="1" applyFont="1" applyFill="1" applyBorder="1" applyAlignment="1" applyProtection="1">
      <alignment vertical="center"/>
    </xf>
    <xf numFmtId="4" fontId="21" fillId="2" borderId="9" xfId="3" applyNumberFormat="1" applyFont="1" applyFill="1" applyBorder="1" applyAlignment="1" applyProtection="1">
      <alignment horizontal="center" vertical="center"/>
    </xf>
    <xf numFmtId="4" fontId="21" fillId="2" borderId="9" xfId="3" applyNumberFormat="1" applyFont="1" applyFill="1" applyBorder="1" applyAlignment="1" applyProtection="1">
      <alignment vertical="center"/>
    </xf>
    <xf numFmtId="0" fontId="24" fillId="2" borderId="0" xfId="3" applyFont="1" applyFill="1" applyProtection="1"/>
    <xf numFmtId="44" fontId="23" fillId="2" borderId="0" xfId="3" applyNumberFormat="1" applyFont="1" applyFill="1" applyAlignment="1" applyProtection="1">
      <alignment horizontal="center" vertical="center"/>
    </xf>
    <xf numFmtId="4" fontId="23" fillId="2" borderId="14" xfId="3" applyNumberFormat="1" applyFont="1" applyFill="1" applyBorder="1" applyAlignment="1" applyProtection="1">
      <alignment vertical="center"/>
    </xf>
    <xf numFmtId="4" fontId="23" fillId="2" borderId="15" xfId="3" applyNumberFormat="1" applyFont="1" applyFill="1" applyBorder="1" applyAlignment="1" applyProtection="1">
      <alignment horizontal="center" vertical="center"/>
    </xf>
    <xf numFmtId="4" fontId="21" fillId="2" borderId="12" xfId="3" applyNumberFormat="1" applyFont="1" applyFill="1" applyBorder="1" applyAlignment="1" applyProtection="1">
      <alignment vertical="center"/>
    </xf>
    <xf numFmtId="4" fontId="21" fillId="2" borderId="5" xfId="3" applyNumberFormat="1" applyFont="1" applyFill="1" applyBorder="1" applyAlignment="1" applyProtection="1">
      <alignment horizontal="center" vertical="center"/>
    </xf>
    <xf numFmtId="4" fontId="21" fillId="2" borderId="5" xfId="3" applyNumberFormat="1" applyFont="1" applyFill="1" applyBorder="1" applyAlignment="1" applyProtection="1">
      <alignment vertical="center"/>
    </xf>
    <xf numFmtId="0" fontId="24" fillId="2" borderId="7" xfId="3" applyFont="1" applyFill="1" applyBorder="1" applyAlignment="1" applyProtection="1">
      <alignment horizontal="center" vertical="center"/>
    </xf>
    <xf numFmtId="0" fontId="24" fillId="2" borderId="9" xfId="3" applyFont="1" applyFill="1" applyBorder="1" applyAlignment="1" applyProtection="1">
      <alignment horizontal="center" vertical="center"/>
    </xf>
    <xf numFmtId="0" fontId="24" fillId="2" borderId="8" xfId="3" applyFont="1" applyFill="1" applyBorder="1" applyAlignment="1" applyProtection="1">
      <alignment horizontal="center" vertical="center" wrapText="1"/>
    </xf>
    <xf numFmtId="0" fontId="24" fillId="2" borderId="10" xfId="3" applyFont="1" applyFill="1" applyBorder="1" applyProtection="1"/>
    <xf numFmtId="0" fontId="24" fillId="2" borderId="0" xfId="3" applyFont="1" applyFill="1" applyAlignment="1" applyProtection="1">
      <alignment horizontal="center"/>
    </xf>
    <xf numFmtId="165" fontId="24" fillId="2" borderId="0" xfId="3" applyNumberFormat="1" applyFont="1" applyFill="1" applyAlignment="1" applyProtection="1">
      <alignment horizontal="center"/>
    </xf>
    <xf numFmtId="44" fontId="24" fillId="2" borderId="0" xfId="3" applyNumberFormat="1" applyFont="1" applyFill="1" applyProtection="1"/>
    <xf numFmtId="165" fontId="24" fillId="2" borderId="11" xfId="3" applyNumberFormat="1" applyFont="1" applyFill="1" applyBorder="1" applyAlignment="1" applyProtection="1">
      <alignment horizontal="center"/>
    </xf>
    <xf numFmtId="0" fontId="24" fillId="2" borderId="0" xfId="3" applyNumberFormat="1" applyFont="1" applyFill="1" applyAlignment="1" applyProtection="1">
      <alignment horizontal="center"/>
    </xf>
    <xf numFmtId="165" fontId="25" fillId="2" borderId="9" xfId="3" applyNumberFormat="1" applyFont="1" applyFill="1" applyBorder="1" applyProtection="1"/>
    <xf numFmtId="44" fontId="25" fillId="2" borderId="9" xfId="15" applyFont="1" applyFill="1" applyBorder="1" applyProtection="1"/>
    <xf numFmtId="0" fontId="22" fillId="2" borderId="14" xfId="3" applyFont="1" applyFill="1" applyBorder="1" applyAlignment="1" applyProtection="1">
      <alignment horizontal="center"/>
    </xf>
    <xf numFmtId="0" fontId="22" fillId="2" borderId="15" xfId="3" applyFont="1" applyFill="1" applyBorder="1" applyAlignment="1" applyProtection="1">
      <alignment horizontal="center"/>
    </xf>
    <xf numFmtId="165" fontId="25" fillId="2" borderId="15" xfId="3" applyNumberFormat="1" applyFont="1" applyFill="1" applyBorder="1" applyProtection="1"/>
    <xf numFmtId="44" fontId="25" fillId="2" borderId="15" xfId="15" applyFont="1" applyFill="1" applyBorder="1" applyProtection="1"/>
    <xf numFmtId="0" fontId="22" fillId="2" borderId="0" xfId="3" applyFont="1" applyFill="1" applyBorder="1" applyAlignment="1" applyProtection="1">
      <alignment horizontal="center"/>
    </xf>
    <xf numFmtId="165" fontId="25" fillId="2" borderId="0" xfId="3" applyNumberFormat="1" applyFont="1" applyFill="1" applyBorder="1" applyProtection="1"/>
    <xf numFmtId="44" fontId="25" fillId="2" borderId="0" xfId="15" applyFont="1" applyFill="1" applyBorder="1" applyProtection="1"/>
    <xf numFmtId="4" fontId="29" fillId="4" borderId="17" xfId="13" applyNumberFormat="1" applyFont="1" applyFill="1" applyBorder="1" applyAlignment="1" applyProtection="1">
      <alignment vertical="center"/>
    </xf>
    <xf numFmtId="4" fontId="29" fillId="4" borderId="18" xfId="13" applyNumberFormat="1" applyFont="1" applyFill="1" applyBorder="1" applyAlignment="1" applyProtection="1">
      <alignment vertical="center" wrapText="1"/>
    </xf>
    <xf numFmtId="4" fontId="29" fillId="4" borderId="18" xfId="13" applyNumberFormat="1" applyFont="1" applyFill="1" applyBorder="1" applyAlignment="1" applyProtection="1">
      <alignment horizontal="right" vertical="center" wrapText="1"/>
    </xf>
    <xf numFmtId="4" fontId="29" fillId="4" borderId="20" xfId="13" applyNumberFormat="1" applyFont="1" applyFill="1" applyBorder="1" applyAlignment="1" applyProtection="1">
      <alignment vertical="center"/>
    </xf>
    <xf numFmtId="4" fontId="29" fillId="4" borderId="21" xfId="13" applyNumberFormat="1" applyFont="1" applyFill="1" applyBorder="1" applyAlignment="1" applyProtection="1">
      <alignment vertical="center"/>
    </xf>
    <xf numFmtId="4" fontId="29" fillId="4" borderId="21" xfId="13" applyNumberFormat="1" applyFont="1" applyFill="1" applyBorder="1" applyAlignment="1" applyProtection="1">
      <alignment horizontal="right" vertical="center"/>
    </xf>
    <xf numFmtId="4" fontId="29" fillId="4" borderId="42" xfId="13" applyNumberFormat="1" applyFont="1" applyFill="1" applyBorder="1" applyAlignment="1" applyProtection="1">
      <alignment vertical="center"/>
    </xf>
    <xf numFmtId="4" fontId="29" fillId="4" borderId="0" xfId="13" applyNumberFormat="1" applyFont="1" applyFill="1" applyBorder="1" applyAlignment="1" applyProtection="1">
      <alignment vertical="center"/>
    </xf>
    <xf numFmtId="4" fontId="29" fillId="4" borderId="0" xfId="13" applyNumberFormat="1" applyFont="1" applyFill="1" applyBorder="1" applyAlignment="1" applyProtection="1">
      <alignment horizontal="right" vertical="center"/>
    </xf>
    <xf numFmtId="10" fontId="29" fillId="4" borderId="39" xfId="14" applyNumberFormat="1" applyFont="1" applyFill="1" applyBorder="1" applyAlignment="1" applyProtection="1">
      <alignment horizontal="left" vertical="center"/>
    </xf>
    <xf numFmtId="0" fontId="23" fillId="7" borderId="64" xfId="13" applyFont="1" applyFill="1" applyBorder="1" applyAlignment="1" applyProtection="1">
      <alignment horizontal="center" vertical="center"/>
    </xf>
    <xf numFmtId="0" fontId="23" fillId="7" borderId="37" xfId="13" applyFont="1" applyFill="1" applyBorder="1" applyAlignment="1" applyProtection="1">
      <alignment horizontal="center" vertical="center"/>
    </xf>
    <xf numFmtId="0" fontId="23" fillId="7" borderId="37" xfId="13" applyFont="1" applyFill="1" applyBorder="1" applyAlignment="1" applyProtection="1">
      <alignment horizontal="center" vertical="center" wrapText="1"/>
    </xf>
    <xf numFmtId="0" fontId="23" fillId="7" borderId="65" xfId="13" applyFont="1" applyFill="1" applyBorder="1" applyAlignment="1" applyProtection="1">
      <alignment horizontal="center" vertical="center"/>
    </xf>
    <xf numFmtId="0" fontId="23" fillId="7" borderId="26" xfId="13" applyFont="1" applyFill="1" applyBorder="1" applyAlignment="1" applyProtection="1">
      <alignment horizontal="left"/>
    </xf>
    <xf numFmtId="0" fontId="23" fillId="7" borderId="6" xfId="13" applyFont="1" applyFill="1" applyBorder="1" applyAlignment="1" applyProtection="1">
      <alignment horizontal="center"/>
    </xf>
    <xf numFmtId="44" fontId="45" fillId="7" borderId="6" xfId="0" applyNumberFormat="1" applyFont="1" applyFill="1" applyBorder="1" applyAlignment="1" applyProtection="1"/>
    <xf numFmtId="44" fontId="45" fillId="7" borderId="27" xfId="0" applyNumberFormat="1" applyFont="1" applyFill="1" applyBorder="1" applyAlignment="1" applyProtection="1"/>
    <xf numFmtId="0" fontId="49" fillId="7" borderId="26" xfId="13" applyFont="1" applyFill="1" applyBorder="1" applyAlignment="1" applyProtection="1">
      <alignment horizontal="left"/>
    </xf>
    <xf numFmtId="1" fontId="49" fillId="7" borderId="6" xfId="13" applyNumberFormat="1" applyFont="1" applyFill="1" applyBorder="1" applyAlignment="1" applyProtection="1">
      <alignment horizontal="center"/>
    </xf>
    <xf numFmtId="44" fontId="49" fillId="7" borderId="6" xfId="0" applyNumberFormat="1" applyFont="1" applyFill="1" applyBorder="1" applyAlignment="1" applyProtection="1"/>
    <xf numFmtId="44" fontId="49" fillId="7" borderId="27" xfId="0" applyNumberFormat="1" applyFont="1" applyFill="1" applyBorder="1" applyAlignment="1" applyProtection="1"/>
    <xf numFmtId="44" fontId="23" fillId="7" borderId="6" xfId="13" applyNumberFormat="1" applyFont="1" applyFill="1" applyBorder="1" applyAlignment="1" applyProtection="1">
      <alignment wrapText="1"/>
    </xf>
    <xf numFmtId="44" fontId="45" fillId="8" borderId="27" xfId="0" applyNumberFormat="1" applyFont="1" applyFill="1" applyBorder="1" applyAlignment="1" applyProtection="1"/>
    <xf numFmtId="0" fontId="23" fillId="7" borderId="42" xfId="13" applyFont="1" applyFill="1" applyBorder="1" applyAlignment="1" applyProtection="1">
      <alignment horizontal="center"/>
    </xf>
    <xf numFmtId="0" fontId="23" fillId="7" borderId="0" xfId="13" applyFont="1" applyFill="1" applyBorder="1" applyAlignment="1" applyProtection="1">
      <alignment horizontal="center"/>
    </xf>
    <xf numFmtId="0" fontId="23" fillId="7" borderId="15" xfId="13" applyFont="1" applyFill="1" applyBorder="1" applyAlignment="1" applyProtection="1">
      <alignment horizontal="center"/>
    </xf>
    <xf numFmtId="0" fontId="45" fillId="7" borderId="15" xfId="0" applyFont="1" applyFill="1" applyBorder="1" applyProtection="1"/>
    <xf numFmtId="0" fontId="45" fillId="7" borderId="47" xfId="0" applyFont="1" applyFill="1" applyBorder="1" applyProtection="1"/>
    <xf numFmtId="0" fontId="23" fillId="7" borderId="12" xfId="13" applyFont="1" applyFill="1" applyBorder="1" applyAlignment="1" applyProtection="1">
      <alignment horizontal="center" vertical="center" wrapText="1"/>
    </xf>
    <xf numFmtId="0" fontId="23" fillId="7" borderId="50" xfId="13" applyFont="1" applyFill="1" applyBorder="1" applyAlignment="1" applyProtection="1">
      <alignment horizontal="left" vertical="center"/>
    </xf>
    <xf numFmtId="0" fontId="23" fillId="7" borderId="14" xfId="13" applyFont="1" applyFill="1" applyBorder="1" applyAlignment="1" applyProtection="1">
      <alignment horizontal="center" vertical="center" wrapText="1"/>
    </xf>
    <xf numFmtId="44" fontId="23" fillId="10" borderId="6" xfId="15" applyNumberFormat="1" applyFont="1" applyFill="1" applyBorder="1" applyAlignment="1" applyProtection="1">
      <alignment horizontal="center"/>
    </xf>
    <xf numFmtId="44" fontId="45" fillId="7" borderId="6" xfId="0" applyNumberFormat="1" applyFont="1" applyFill="1" applyBorder="1" applyAlignment="1" applyProtection="1">
      <alignment horizontal="center" vertical="center"/>
    </xf>
    <xf numFmtId="44" fontId="45" fillId="7" borderId="27" xfId="0" applyNumberFormat="1" applyFont="1" applyFill="1" applyBorder="1" applyAlignment="1" applyProtection="1">
      <alignment horizontal="center" vertical="center"/>
    </xf>
    <xf numFmtId="0" fontId="23" fillId="7" borderId="26" xfId="13" applyFont="1" applyFill="1" applyBorder="1" applyAlignment="1" applyProtection="1">
      <alignment horizontal="left" wrapText="1"/>
    </xf>
    <xf numFmtId="1" fontId="23" fillId="7" borderId="6" xfId="13" applyNumberFormat="1" applyFont="1" applyFill="1" applyBorder="1" applyAlignment="1" applyProtection="1">
      <alignment horizontal="center" vertical="center"/>
    </xf>
    <xf numFmtId="165" fontId="23" fillId="7" borderId="6" xfId="13" applyNumberFormat="1" applyFont="1" applyFill="1" applyBorder="1" applyAlignment="1" applyProtection="1">
      <alignment horizontal="center" vertical="center"/>
    </xf>
    <xf numFmtId="44" fontId="23" fillId="7" borderId="6" xfId="13" applyNumberFormat="1" applyFont="1" applyFill="1" applyBorder="1" applyAlignment="1" applyProtection="1">
      <alignment horizontal="center" vertical="center"/>
    </xf>
    <xf numFmtId="0" fontId="23" fillId="7" borderId="42" xfId="13" applyFont="1" applyFill="1" applyBorder="1" applyProtection="1"/>
    <xf numFmtId="0" fontId="23" fillId="7" borderId="0" xfId="13" applyFont="1" applyFill="1" applyBorder="1" applyProtection="1"/>
    <xf numFmtId="0" fontId="45" fillId="7" borderId="0" xfId="0" applyFont="1" applyFill="1" applyBorder="1" applyProtection="1"/>
    <xf numFmtId="0" fontId="45" fillId="7" borderId="39" xfId="0" applyFont="1" applyFill="1" applyBorder="1" applyProtection="1"/>
    <xf numFmtId="44" fontId="22" fillId="7" borderId="3" xfId="0" applyNumberFormat="1" applyFont="1" applyFill="1" applyBorder="1" applyProtection="1"/>
    <xf numFmtId="10" fontId="23" fillId="11" borderId="22" xfId="15" applyNumberFormat="1" applyFont="1" applyFill="1" applyBorder="1" applyAlignment="1" applyProtection="1">
      <alignment horizontal="center"/>
      <protection locked="0"/>
    </xf>
    <xf numFmtId="165" fontId="30" fillId="11" borderId="6" xfId="0" applyNumberFormat="1" applyFont="1" applyFill="1" applyBorder="1" applyAlignment="1" applyProtection="1">
      <alignment horizontal="center" vertical="center"/>
      <protection locked="0"/>
    </xf>
    <xf numFmtId="2" fontId="24" fillId="11" borderId="71" xfId="0" applyNumberFormat="1" applyFont="1" applyFill="1" applyBorder="1" applyAlignment="1" applyProtection="1">
      <alignment horizontal="center" vertical="center"/>
      <protection locked="0"/>
    </xf>
    <xf numFmtId="2" fontId="24" fillId="0" borderId="51" xfId="0" applyNumberFormat="1" applyFont="1" applyBorder="1" applyAlignment="1" applyProtection="1">
      <alignment horizontal="center" vertical="center" wrapText="1"/>
      <protection locked="0"/>
    </xf>
    <xf numFmtId="14" fontId="23" fillId="11" borderId="19" xfId="15" applyNumberFormat="1" applyFont="1" applyFill="1" applyBorder="1" applyAlignment="1" applyProtection="1">
      <alignment horizontal="center"/>
      <protection locked="0"/>
    </xf>
    <xf numFmtId="0" fontId="27" fillId="0" borderId="0" xfId="0" applyFont="1" applyAlignment="1">
      <alignment horizontal="center"/>
    </xf>
    <xf numFmtId="0" fontId="28" fillId="0" borderId="20" xfId="3" applyFont="1" applyBorder="1" applyAlignment="1" applyProtection="1">
      <alignment horizontal="center"/>
    </xf>
    <xf numFmtId="0" fontId="28" fillId="0" borderId="21" xfId="3" applyFont="1" applyBorder="1" applyAlignment="1" applyProtection="1">
      <alignment horizontal="center"/>
    </xf>
    <xf numFmtId="0" fontId="32" fillId="0" borderId="0" xfId="2" applyFont="1" applyAlignment="1" applyProtection="1">
      <alignment horizontal="left" vertical="top" wrapText="1"/>
    </xf>
    <xf numFmtId="0" fontId="32" fillId="0" borderId="0" xfId="2" applyFont="1" applyAlignment="1" applyProtection="1">
      <alignment horizontal="left" wrapText="1"/>
    </xf>
    <xf numFmtId="0" fontId="42" fillId="7" borderId="0" xfId="0" applyFont="1" applyFill="1" applyAlignment="1" applyProtection="1">
      <alignment horizontal="center" vertical="top" wrapText="1"/>
      <protection locked="0"/>
    </xf>
    <xf numFmtId="0" fontId="42" fillId="7" borderId="21" xfId="0" applyFont="1" applyFill="1" applyBorder="1" applyAlignment="1" applyProtection="1">
      <alignment horizontal="center" vertical="top" wrapText="1"/>
      <protection locked="0"/>
    </xf>
    <xf numFmtId="0" fontId="49" fillId="7" borderId="35" xfId="3" applyFont="1" applyFill="1" applyBorder="1" applyAlignment="1" applyProtection="1">
      <alignment horizontal="center" vertical="center" wrapText="1"/>
    </xf>
    <xf numFmtId="0" fontId="49" fillId="7" borderId="36" xfId="3" applyFont="1" applyFill="1" applyBorder="1" applyAlignment="1" applyProtection="1">
      <alignment horizontal="center" vertical="center" wrapText="1"/>
    </xf>
    <xf numFmtId="0" fontId="49" fillId="7" borderId="49" xfId="3" applyFont="1" applyFill="1" applyBorder="1" applyAlignment="1" applyProtection="1">
      <alignment horizontal="center" vertical="center" wrapText="1"/>
    </xf>
    <xf numFmtId="4" fontId="50" fillId="7" borderId="4" xfId="0" applyNumberFormat="1" applyFont="1" applyFill="1" applyBorder="1" applyAlignment="1" applyProtection="1">
      <alignment horizontal="center" vertical="center" wrapText="1"/>
      <protection locked="0"/>
    </xf>
    <xf numFmtId="175" fontId="38" fillId="0" borderId="26" xfId="3" applyNumberFormat="1" applyFont="1" applyBorder="1" applyAlignment="1" applyProtection="1">
      <alignment vertical="center"/>
    </xf>
    <xf numFmtId="175" fontId="38" fillId="0" borderId="6" xfId="3" applyNumberFormat="1" applyFont="1" applyBorder="1" applyAlignment="1" applyProtection="1">
      <alignment vertical="center"/>
    </xf>
    <xf numFmtId="4" fontId="46" fillId="7" borderId="35" xfId="3" applyNumberFormat="1" applyFont="1" applyFill="1" applyBorder="1" applyAlignment="1" applyProtection="1">
      <alignment horizontal="center" vertical="center" wrapText="1"/>
      <protection locked="0"/>
    </xf>
    <xf numFmtId="4" fontId="46" fillId="7" borderId="36" xfId="3" applyNumberFormat="1" applyFont="1" applyFill="1" applyBorder="1" applyAlignment="1" applyProtection="1">
      <alignment horizontal="center" vertical="center" wrapText="1"/>
      <protection locked="0"/>
    </xf>
    <xf numFmtId="4" fontId="46" fillId="7" borderId="49" xfId="3" applyNumberFormat="1" applyFont="1" applyFill="1" applyBorder="1" applyAlignment="1" applyProtection="1">
      <alignment horizontal="center" vertical="center" wrapText="1"/>
      <protection locked="0"/>
    </xf>
    <xf numFmtId="4" fontId="37" fillId="0" borderId="26" xfId="3" applyNumberFormat="1" applyFont="1" applyBorder="1" applyAlignment="1" applyProtection="1">
      <alignment horizontal="center" vertical="center"/>
    </xf>
    <xf numFmtId="4" fontId="37" fillId="0" borderId="6" xfId="3" applyNumberFormat="1" applyFont="1" applyBorder="1" applyAlignment="1" applyProtection="1">
      <alignment horizontal="center" vertical="center"/>
    </xf>
    <xf numFmtId="4" fontId="37" fillId="0" borderId="27" xfId="3" applyNumberFormat="1" applyFont="1" applyBorder="1" applyAlignment="1" applyProtection="1">
      <alignment horizontal="center" vertical="center"/>
    </xf>
    <xf numFmtId="4" fontId="38" fillId="0" borderId="26" xfId="3" applyNumberFormat="1" applyFont="1" applyBorder="1" applyAlignment="1" applyProtection="1">
      <alignment horizontal="center" vertical="center"/>
    </xf>
    <xf numFmtId="4" fontId="38" fillId="0" borderId="6" xfId="3" applyNumberFormat="1" applyFont="1" applyBorder="1" applyAlignment="1" applyProtection="1">
      <alignment horizontal="center" vertical="center"/>
    </xf>
    <xf numFmtId="175" fontId="38" fillId="0" borderId="26" xfId="3" applyNumberFormat="1" applyFont="1" applyBorder="1" applyAlignment="1" applyProtection="1">
      <alignment horizontal="left" vertical="center"/>
    </xf>
    <xf numFmtId="175" fontId="38" fillId="0" borderId="6" xfId="3" applyNumberFormat="1" applyFont="1" applyBorder="1" applyAlignment="1" applyProtection="1">
      <alignment horizontal="left" vertical="center"/>
    </xf>
    <xf numFmtId="175" fontId="37" fillId="0" borderId="33" xfId="3" applyNumberFormat="1" applyFont="1" applyBorder="1" applyAlignment="1" applyProtection="1">
      <alignment horizontal="right" vertical="center"/>
    </xf>
    <xf numFmtId="175" fontId="37" fillId="0" borderId="9" xfId="3" applyNumberFormat="1" applyFont="1" applyBorder="1" applyAlignment="1" applyProtection="1">
      <alignment horizontal="right" vertical="center"/>
    </xf>
    <xf numFmtId="175" fontId="38" fillId="0" borderId="33" xfId="3" applyNumberFormat="1" applyFont="1" applyBorder="1" applyAlignment="1" applyProtection="1">
      <alignment horizontal="right" vertical="center"/>
    </xf>
    <xf numFmtId="175" fontId="38" fillId="0" borderId="9" xfId="3" applyNumberFormat="1" applyFont="1" applyBorder="1" applyAlignment="1" applyProtection="1">
      <alignment horizontal="right" vertical="center"/>
    </xf>
    <xf numFmtId="175" fontId="38" fillId="0" borderId="33" xfId="3" applyNumberFormat="1" applyFont="1" applyBorder="1" applyAlignment="1" applyProtection="1">
      <alignment vertical="center"/>
    </xf>
    <xf numFmtId="175" fontId="38" fillId="0" borderId="9" xfId="3" applyNumberFormat="1" applyFont="1" applyBorder="1" applyAlignment="1" applyProtection="1">
      <alignment vertical="center"/>
    </xf>
    <xf numFmtId="175" fontId="38" fillId="0" borderId="8" xfId="3" applyNumberFormat="1" applyFont="1" applyBorder="1" applyAlignment="1" applyProtection="1">
      <alignment vertical="center"/>
    </xf>
    <xf numFmtId="175" fontId="37" fillId="0" borderId="40" xfId="3" applyNumberFormat="1" applyFont="1" applyBorder="1" applyAlignment="1" applyProtection="1">
      <alignment horizontal="right" vertical="center"/>
    </xf>
    <xf numFmtId="175" fontId="37" fillId="0" borderId="31" xfId="3" applyNumberFormat="1" applyFont="1" applyBorder="1" applyAlignment="1" applyProtection="1">
      <alignment horizontal="right" vertical="center"/>
    </xf>
    <xf numFmtId="175" fontId="38" fillId="0" borderId="26" xfId="3" applyNumberFormat="1" applyFont="1" applyBorder="1" applyAlignment="1" applyProtection="1">
      <alignment horizontal="right" vertical="center"/>
    </xf>
    <xf numFmtId="175" fontId="38" fillId="0" borderId="6" xfId="3" applyNumberFormat="1" applyFont="1" applyBorder="1" applyAlignment="1" applyProtection="1">
      <alignment horizontal="right" vertical="center"/>
    </xf>
    <xf numFmtId="175" fontId="37" fillId="0" borderId="26" xfId="3" applyNumberFormat="1" applyFont="1" applyBorder="1" applyAlignment="1" applyProtection="1">
      <alignment horizontal="right" vertical="center"/>
    </xf>
    <xf numFmtId="175" fontId="37" fillId="0" borderId="6" xfId="3" applyNumberFormat="1" applyFont="1" applyBorder="1" applyAlignment="1" applyProtection="1">
      <alignment horizontal="right" vertical="center"/>
    </xf>
    <xf numFmtId="175" fontId="38" fillId="0" borderId="33" xfId="3" applyNumberFormat="1" applyFont="1" applyBorder="1" applyAlignment="1" applyProtection="1">
      <alignment horizontal="left" vertical="center"/>
    </xf>
    <xf numFmtId="175" fontId="38" fillId="0" borderId="9" xfId="3" applyNumberFormat="1" applyFont="1" applyBorder="1" applyAlignment="1" applyProtection="1">
      <alignment horizontal="left" vertical="center"/>
    </xf>
    <xf numFmtId="175" fontId="38" fillId="0" borderId="8" xfId="3" applyNumberFormat="1" applyFont="1" applyBorder="1" applyAlignment="1" applyProtection="1">
      <alignment horizontal="left" vertical="center"/>
    </xf>
    <xf numFmtId="4" fontId="37" fillId="0" borderId="33" xfId="3" applyNumberFormat="1" applyFont="1" applyBorder="1" applyAlignment="1" applyProtection="1">
      <alignment horizontal="center" vertical="center"/>
    </xf>
    <xf numFmtId="4" fontId="37" fillId="0" borderId="9" xfId="3" applyNumberFormat="1" applyFont="1" applyBorder="1" applyAlignment="1" applyProtection="1">
      <alignment horizontal="center" vertical="center"/>
    </xf>
    <xf numFmtId="4" fontId="37" fillId="0" borderId="45" xfId="3" applyNumberFormat="1" applyFont="1" applyBorder="1" applyAlignment="1" applyProtection="1">
      <alignment horizontal="center" vertical="center"/>
    </xf>
    <xf numFmtId="4" fontId="38" fillId="0" borderId="33" xfId="3" applyNumberFormat="1" applyFont="1" applyBorder="1" applyAlignment="1" applyProtection="1">
      <alignment horizontal="center" vertical="center"/>
    </xf>
    <xf numFmtId="4" fontId="38" fillId="0" borderId="9" xfId="3" applyNumberFormat="1" applyFont="1" applyBorder="1" applyAlignment="1" applyProtection="1">
      <alignment horizontal="center" vertical="center"/>
    </xf>
    <xf numFmtId="4" fontId="38" fillId="0" borderId="8" xfId="3" applyNumberFormat="1" applyFont="1" applyBorder="1" applyAlignment="1" applyProtection="1">
      <alignment horizontal="center" vertical="center"/>
    </xf>
    <xf numFmtId="0" fontId="55" fillId="0" borderId="10" xfId="0" applyFont="1" applyBorder="1" applyAlignment="1" applyProtection="1">
      <alignment horizontal="left" vertical="center" wrapText="1"/>
    </xf>
    <xf numFmtId="0" fontId="55" fillId="0" borderId="0" xfId="0" applyFont="1" applyAlignment="1" applyProtection="1">
      <alignment horizontal="left" vertical="center"/>
    </xf>
    <xf numFmtId="0" fontId="55" fillId="0" borderId="11" xfId="0" applyFont="1" applyBorder="1" applyAlignment="1" applyProtection="1">
      <alignment horizontal="left" vertical="center"/>
    </xf>
    <xf numFmtId="0" fontId="55" fillId="0" borderId="0" xfId="0" applyFont="1" applyAlignment="1" applyProtection="1">
      <alignment horizontal="left" vertical="center" wrapText="1"/>
    </xf>
    <xf numFmtId="0" fontId="55" fillId="0" borderId="11" xfId="0" applyFont="1" applyBorder="1" applyAlignment="1" applyProtection="1">
      <alignment horizontal="left" vertical="center" wrapText="1"/>
    </xf>
    <xf numFmtId="0" fontId="55" fillId="0" borderId="5" xfId="0" applyFont="1" applyBorder="1" applyAlignment="1" applyProtection="1">
      <alignment horizontal="center" vertical="center" wrapText="1"/>
    </xf>
    <xf numFmtId="0" fontId="55" fillId="0" borderId="0" xfId="0" applyFont="1" applyAlignment="1" applyProtection="1">
      <alignment horizontal="center" vertical="center" wrapText="1"/>
    </xf>
    <xf numFmtId="0" fontId="55" fillId="0" borderId="15" xfId="0" applyFont="1" applyBorder="1" applyAlignment="1" applyProtection="1">
      <alignment horizontal="center"/>
    </xf>
    <xf numFmtId="0" fontId="24" fillId="0" borderId="14" xfId="0" applyFont="1" applyBorder="1" applyAlignment="1" applyProtection="1">
      <alignment horizontal="center"/>
    </xf>
    <xf numFmtId="0" fontId="24" fillId="0" borderId="15" xfId="0" applyFont="1" applyBorder="1" applyAlignment="1" applyProtection="1">
      <alignment horizontal="center"/>
    </xf>
    <xf numFmtId="0" fontId="24" fillId="0" borderId="16" xfId="0" applyFont="1" applyBorder="1" applyAlignment="1" applyProtection="1">
      <alignment horizontal="center"/>
    </xf>
    <xf numFmtId="0" fontId="24" fillId="0" borderId="10" xfId="0" applyFont="1" applyBorder="1" applyAlignment="1" applyProtection="1">
      <alignment horizontal="center"/>
    </xf>
    <xf numFmtId="0" fontId="24" fillId="0" borderId="0" xfId="0" applyFont="1" applyAlignment="1" applyProtection="1">
      <alignment horizontal="center"/>
    </xf>
    <xf numFmtId="10" fontId="24" fillId="11" borderId="0" xfId="1" applyNumberFormat="1" applyFont="1" applyFill="1" applyBorder="1" applyAlignment="1" applyProtection="1">
      <alignment horizontal="center"/>
      <protection locked="0"/>
    </xf>
    <xf numFmtId="0" fontId="27" fillId="8" borderId="7" xfId="0" applyFont="1" applyFill="1" applyBorder="1" applyAlignment="1" applyProtection="1">
      <alignment horizontal="center"/>
    </xf>
    <xf numFmtId="0" fontId="27" fillId="8" borderId="9" xfId="0" applyFont="1" applyFill="1" applyBorder="1" applyAlignment="1" applyProtection="1">
      <alignment horizontal="center"/>
    </xf>
    <xf numFmtId="10" fontId="27" fillId="8" borderId="9" xfId="1" applyNumberFormat="1" applyFont="1" applyFill="1" applyBorder="1" applyAlignment="1" applyProtection="1">
      <alignment horizontal="center"/>
    </xf>
    <xf numFmtId="0" fontId="24" fillId="0" borderId="5" xfId="0" applyFont="1" applyBorder="1" applyAlignment="1" applyProtection="1">
      <alignment horizontal="left" wrapText="1"/>
    </xf>
    <xf numFmtId="0" fontId="24" fillId="0" borderId="5" xfId="0" applyFont="1" applyBorder="1" applyAlignment="1" applyProtection="1">
      <alignment horizontal="left"/>
    </xf>
    <xf numFmtId="0" fontId="24" fillId="0" borderId="13" xfId="0" applyFont="1" applyBorder="1" applyAlignment="1" applyProtection="1">
      <alignment horizontal="left"/>
    </xf>
    <xf numFmtId="0" fontId="27" fillId="7" borderId="14" xfId="0" applyFont="1" applyFill="1" applyBorder="1" applyAlignment="1" applyProtection="1">
      <alignment horizontal="left"/>
    </xf>
    <xf numFmtId="0" fontId="27" fillId="7" borderId="15" xfId="0" applyFont="1" applyFill="1" applyBorder="1" applyAlignment="1" applyProtection="1">
      <alignment horizontal="left"/>
    </xf>
    <xf numFmtId="0" fontId="27" fillId="7" borderId="10" xfId="0" applyFont="1" applyFill="1" applyBorder="1" applyAlignment="1" applyProtection="1">
      <alignment horizontal="left"/>
    </xf>
    <xf numFmtId="0" fontId="27" fillId="7" borderId="0" xfId="0" applyFont="1" applyFill="1" applyAlignment="1" applyProtection="1">
      <alignment horizontal="left"/>
    </xf>
    <xf numFmtId="0" fontId="27" fillId="8" borderId="12" xfId="0" applyFont="1" applyFill="1" applyBorder="1" applyAlignment="1" applyProtection="1">
      <alignment horizontal="center"/>
    </xf>
    <xf numFmtId="0" fontId="27" fillId="8" borderId="5" xfId="0" applyFont="1" applyFill="1" applyBorder="1" applyAlignment="1" applyProtection="1">
      <alignment horizontal="center"/>
    </xf>
    <xf numFmtId="49" fontId="26" fillId="0" borderId="14" xfId="0" applyNumberFormat="1" applyFont="1" applyBorder="1" applyAlignment="1" applyProtection="1">
      <alignment horizontal="center" vertical="center" wrapText="1"/>
      <protection locked="0"/>
    </xf>
    <xf numFmtId="0" fontId="53" fillId="0" borderId="15" xfId="0" applyFont="1" applyBorder="1" applyProtection="1">
      <protection locked="0"/>
    </xf>
    <xf numFmtId="0" fontId="53" fillId="0" borderId="16" xfId="0" applyFont="1" applyBorder="1" applyProtection="1">
      <protection locked="0"/>
    </xf>
    <xf numFmtId="0" fontId="53" fillId="0" borderId="10" xfId="0" applyFont="1" applyBorder="1" applyProtection="1">
      <protection locked="0"/>
    </xf>
    <xf numFmtId="0" fontId="54" fillId="0" borderId="0" xfId="0" applyFont="1" applyProtection="1">
      <protection locked="0"/>
    </xf>
    <xf numFmtId="0" fontId="53" fillId="0" borderId="11" xfId="0" applyFont="1" applyBorder="1" applyProtection="1">
      <protection locked="0"/>
    </xf>
    <xf numFmtId="0" fontId="53" fillId="0" borderId="93" xfId="0" applyFont="1" applyBorder="1" applyProtection="1">
      <protection locked="0"/>
    </xf>
    <xf numFmtId="0" fontId="53" fillId="0" borderId="94" xfId="0" applyFont="1" applyBorder="1" applyProtection="1">
      <protection locked="0"/>
    </xf>
    <xf numFmtId="0" fontId="53" fillId="0" borderId="95" xfId="0" applyFont="1" applyBorder="1" applyProtection="1">
      <protection locked="0"/>
    </xf>
    <xf numFmtId="0" fontId="24" fillId="0" borderId="15" xfId="0" applyFont="1" applyBorder="1" applyAlignment="1" applyProtection="1">
      <alignment horizontal="left" vertical="center" wrapText="1"/>
    </xf>
    <xf numFmtId="0" fontId="24" fillId="0" borderId="16" xfId="0" applyFont="1" applyBorder="1" applyAlignment="1" applyProtection="1">
      <alignment horizontal="left" vertical="center" wrapText="1"/>
    </xf>
    <xf numFmtId="14" fontId="24" fillId="0" borderId="0" xfId="0" applyNumberFormat="1" applyFont="1" applyAlignment="1" applyProtection="1">
      <alignment horizontal="left" vertical="center" wrapText="1"/>
    </xf>
    <xf numFmtId="14" fontId="24" fillId="0" borderId="11" xfId="0" applyNumberFormat="1" applyFont="1" applyBorder="1" applyAlignment="1" applyProtection="1">
      <alignment horizontal="left" vertical="center" wrapText="1"/>
    </xf>
    <xf numFmtId="2" fontId="24" fillId="0" borderId="0" xfId="0" applyNumberFormat="1" applyFont="1" applyAlignment="1" applyProtection="1">
      <alignment horizontal="left" vertical="center" wrapText="1"/>
    </xf>
    <xf numFmtId="2" fontId="24" fillId="0" borderId="11" xfId="0" applyNumberFormat="1" applyFont="1" applyBorder="1" applyAlignment="1" applyProtection="1">
      <alignment horizontal="left" vertical="center" wrapText="1"/>
    </xf>
    <xf numFmtId="49" fontId="45" fillId="0" borderId="96" xfId="0" applyNumberFormat="1" applyFont="1" applyBorder="1" applyAlignment="1" applyProtection="1">
      <alignment horizontal="center" vertical="center"/>
    </xf>
    <xf numFmtId="49" fontId="45" fillId="0" borderId="97" xfId="0" applyNumberFormat="1" applyFont="1" applyBorder="1" applyAlignment="1" applyProtection="1">
      <alignment horizontal="center" vertical="center"/>
    </xf>
    <xf numFmtId="49" fontId="45" fillId="0" borderId="98" xfId="0" applyNumberFormat="1" applyFont="1" applyBorder="1" applyAlignment="1" applyProtection="1">
      <alignment horizontal="center" vertical="center"/>
    </xf>
    <xf numFmtId="0" fontId="27" fillId="0" borderId="35" xfId="0" applyFont="1" applyBorder="1" applyAlignment="1" applyProtection="1">
      <alignment horizontal="center" vertical="center"/>
    </xf>
    <xf numFmtId="0" fontId="27" fillId="0" borderId="36" xfId="0" applyFont="1" applyBorder="1" applyAlignment="1" applyProtection="1">
      <alignment horizontal="center" vertical="center"/>
    </xf>
    <xf numFmtId="0" fontId="27" fillId="0" borderId="62" xfId="0" applyFont="1" applyBorder="1" applyAlignment="1" applyProtection="1">
      <alignment horizontal="center" vertical="center"/>
    </xf>
    <xf numFmtId="0" fontId="28" fillId="0" borderId="80" xfId="2" applyFont="1" applyBorder="1" applyAlignment="1" applyProtection="1">
      <alignment horizontal="center" vertical="center"/>
    </xf>
    <xf numFmtId="0" fontId="28" fillId="0" borderId="18" xfId="2" applyFont="1" applyBorder="1" applyAlignment="1" applyProtection="1">
      <alignment horizontal="center" vertical="center"/>
    </xf>
    <xf numFmtId="0" fontId="28" fillId="0" borderId="77" xfId="2" applyFont="1" applyBorder="1" applyAlignment="1" applyProtection="1">
      <alignment horizontal="center" vertical="center"/>
    </xf>
    <xf numFmtId="0" fontId="30" fillId="0" borderId="23" xfId="2" applyNumberFormat="1" applyFont="1" applyBorder="1" applyAlignment="1" applyProtection="1">
      <alignment horizontal="center" vertical="center"/>
    </xf>
    <xf numFmtId="0" fontId="30" fillId="0" borderId="26" xfId="2" applyNumberFormat="1" applyFont="1" applyBorder="1" applyAlignment="1" applyProtection="1">
      <alignment horizontal="center" vertical="center"/>
    </xf>
    <xf numFmtId="0" fontId="30" fillId="0" borderId="40" xfId="2" applyNumberFormat="1" applyFont="1" applyBorder="1" applyAlignment="1" applyProtection="1">
      <alignment horizontal="center" vertical="center"/>
    </xf>
    <xf numFmtId="0" fontId="24" fillId="0" borderId="24" xfId="0" applyFont="1" applyBorder="1" applyAlignment="1" applyProtection="1">
      <alignment horizontal="center" vertical="center"/>
    </xf>
    <xf numFmtId="0" fontId="24" fillId="0" borderId="6" xfId="0" applyFont="1" applyBorder="1" applyAlignment="1" applyProtection="1">
      <alignment horizontal="center" vertical="center"/>
    </xf>
    <xf numFmtId="0" fontId="24" fillId="0" borderId="31" xfId="0" applyFont="1" applyBorder="1" applyAlignment="1" applyProtection="1">
      <alignment horizontal="center" vertical="center"/>
    </xf>
    <xf numFmtId="2" fontId="28" fillId="0" borderId="41" xfId="2" applyNumberFormat="1" applyFont="1" applyBorder="1" applyAlignment="1" applyProtection="1">
      <alignment horizontal="center" vertical="center"/>
    </xf>
    <xf numFmtId="2" fontId="28" fillId="0" borderId="45" xfId="2" applyNumberFormat="1" applyFont="1" applyBorder="1" applyAlignment="1" applyProtection="1">
      <alignment horizontal="center" vertical="center"/>
    </xf>
    <xf numFmtId="2" fontId="28" fillId="0" borderId="47" xfId="2" applyNumberFormat="1" applyFont="1" applyBorder="1" applyAlignment="1" applyProtection="1">
      <alignment horizontal="center" vertical="center"/>
    </xf>
    <xf numFmtId="2" fontId="28" fillId="0" borderId="48" xfId="2" applyNumberFormat="1" applyFont="1" applyBorder="1" applyAlignment="1" applyProtection="1">
      <alignment horizontal="center" vertical="center"/>
    </xf>
    <xf numFmtId="0" fontId="30" fillId="0" borderId="64" xfId="2" applyFont="1" applyBorder="1" applyAlignment="1" applyProtection="1">
      <alignment horizontal="center" vertical="center"/>
    </xf>
    <xf numFmtId="0" fontId="30" fillId="0" borderId="26" xfId="2" applyFont="1" applyBorder="1" applyAlignment="1" applyProtection="1">
      <alignment horizontal="center" vertical="center"/>
    </xf>
    <xf numFmtId="0" fontId="30" fillId="0" borderId="40" xfId="2" applyFont="1" applyBorder="1" applyAlignment="1" applyProtection="1">
      <alignment horizontal="center" vertical="center"/>
    </xf>
    <xf numFmtId="0" fontId="24" fillId="0" borderId="37" xfId="0" applyFont="1" applyBorder="1" applyAlignment="1" applyProtection="1">
      <alignment horizontal="center" vertical="center"/>
    </xf>
    <xf numFmtId="2" fontId="28" fillId="0" borderId="59" xfId="2" applyNumberFormat="1" applyFont="1" applyBorder="1" applyAlignment="1" applyProtection="1">
      <alignment horizontal="center" vertical="center"/>
    </xf>
    <xf numFmtId="2" fontId="28" fillId="0" borderId="60" xfId="2" applyNumberFormat="1" applyFont="1" applyBorder="1" applyAlignment="1" applyProtection="1">
      <alignment horizontal="center" vertical="center"/>
    </xf>
    <xf numFmtId="2" fontId="28" fillId="0" borderId="72" xfId="2" applyNumberFormat="1" applyFont="1" applyBorder="1" applyAlignment="1" applyProtection="1">
      <alignment horizontal="center" vertical="center"/>
    </xf>
    <xf numFmtId="0" fontId="24" fillId="0" borderId="70" xfId="0" applyFont="1" applyBorder="1" applyAlignment="1" applyProtection="1">
      <alignment horizontal="center" vertical="center"/>
    </xf>
    <xf numFmtId="0" fontId="24" fillId="0" borderId="71" xfId="0" applyFont="1" applyBorder="1" applyAlignment="1" applyProtection="1">
      <alignment horizontal="center" vertical="center"/>
    </xf>
    <xf numFmtId="0" fontId="30" fillId="0" borderId="68" xfId="2" applyFont="1" applyBorder="1" applyAlignment="1" applyProtection="1">
      <alignment horizontal="center" vertical="center" wrapText="1"/>
    </xf>
    <xf numFmtId="0" fontId="30" fillId="0" borderId="69" xfId="2" applyFont="1" applyBorder="1" applyAlignment="1" applyProtection="1">
      <alignment horizontal="center" vertical="center" wrapText="1"/>
    </xf>
    <xf numFmtId="0" fontId="30" fillId="0" borderId="68" xfId="2" applyNumberFormat="1" applyFont="1" applyBorder="1" applyAlignment="1" applyProtection="1">
      <alignment horizontal="center" vertical="center"/>
    </xf>
    <xf numFmtId="0" fontId="30" fillId="0" borderId="73" xfId="2" applyNumberFormat="1" applyFont="1" applyBorder="1" applyAlignment="1" applyProtection="1">
      <alignment horizontal="center" vertical="center"/>
    </xf>
    <xf numFmtId="0" fontId="24" fillId="0" borderId="66" xfId="0" applyFont="1" applyBorder="1" applyAlignment="1" applyProtection="1">
      <alignment horizontal="center" vertical="center"/>
    </xf>
    <xf numFmtId="0" fontId="31" fillId="0" borderId="1" xfId="3" applyFont="1" applyBorder="1" applyAlignment="1" applyProtection="1">
      <alignment horizontal="center" wrapText="1"/>
    </xf>
    <xf numFmtId="0" fontId="31" fillId="0" borderId="2" xfId="3" applyFont="1" applyBorder="1" applyAlignment="1" applyProtection="1">
      <alignment horizontal="center" wrapText="1"/>
    </xf>
    <xf numFmtId="0" fontId="31" fillId="0" borderId="3" xfId="3" applyFont="1" applyBorder="1" applyAlignment="1" applyProtection="1">
      <alignment horizontal="center" wrapText="1"/>
    </xf>
    <xf numFmtId="0" fontId="32" fillId="0" borderId="64" xfId="2" applyFont="1" applyBorder="1" applyAlignment="1" applyProtection="1">
      <alignment horizontal="center" vertical="center"/>
    </xf>
    <xf numFmtId="0" fontId="32" fillId="0" borderId="37" xfId="2" applyFont="1" applyBorder="1" applyAlignment="1" applyProtection="1">
      <alignment horizontal="center" vertical="center"/>
    </xf>
    <xf numFmtId="0" fontId="32" fillId="0" borderId="26" xfId="2" applyFont="1" applyBorder="1" applyAlignment="1" applyProtection="1">
      <alignment horizontal="center" vertical="center"/>
    </xf>
    <xf numFmtId="0" fontId="32" fillId="0" borderId="6" xfId="2" applyFont="1" applyBorder="1" applyAlignment="1" applyProtection="1">
      <alignment horizontal="center" vertical="center"/>
    </xf>
    <xf numFmtId="0" fontId="30" fillId="0" borderId="17" xfId="2" applyFont="1" applyBorder="1" applyAlignment="1" applyProtection="1">
      <alignment horizontal="center"/>
    </xf>
    <xf numFmtId="0" fontId="30" fillId="0" borderId="18" xfId="2" applyFont="1" applyBorder="1" applyAlignment="1" applyProtection="1">
      <alignment horizontal="center"/>
    </xf>
    <xf numFmtId="0" fontId="30" fillId="0" borderId="20" xfId="2" applyFont="1" applyBorder="1" applyAlignment="1" applyProtection="1">
      <alignment horizontal="center"/>
    </xf>
    <xf numFmtId="0" fontId="30" fillId="0" borderId="21" xfId="2" applyFont="1" applyBorder="1" applyAlignment="1" applyProtection="1">
      <alignment horizontal="center"/>
    </xf>
    <xf numFmtId="0" fontId="30" fillId="0" borderId="22" xfId="2" applyFont="1" applyBorder="1" applyAlignment="1" applyProtection="1">
      <alignment horizontal="center"/>
    </xf>
    <xf numFmtId="0" fontId="27" fillId="0" borderId="40" xfId="0" applyFont="1" applyBorder="1" applyAlignment="1" applyProtection="1">
      <alignment horizontal="right" vertical="center" indent="1"/>
    </xf>
    <xf numFmtId="0" fontId="27" fillId="0" borderId="31" xfId="0" applyFont="1" applyBorder="1" applyAlignment="1" applyProtection="1">
      <alignment horizontal="right" vertical="center" indent="1"/>
    </xf>
    <xf numFmtId="0" fontId="27" fillId="0" borderId="26" xfId="0" applyFont="1" applyBorder="1" applyAlignment="1" applyProtection="1">
      <alignment horizontal="right" vertical="center" indent="1"/>
    </xf>
    <xf numFmtId="0" fontId="27" fillId="0" borderId="6" xfId="0" applyFont="1" applyBorder="1" applyAlignment="1" applyProtection="1">
      <alignment horizontal="right" vertical="center" indent="1"/>
    </xf>
    <xf numFmtId="0" fontId="32" fillId="0" borderId="7" xfId="2" applyFont="1" applyBorder="1" applyAlignment="1" applyProtection="1">
      <alignment horizontal="center" vertical="center"/>
    </xf>
    <xf numFmtId="0" fontId="32" fillId="0" borderId="9" xfId="2" applyFont="1" applyBorder="1" applyAlignment="1" applyProtection="1">
      <alignment horizontal="center" vertical="center"/>
    </xf>
    <xf numFmtId="0" fontId="32" fillId="0" borderId="45" xfId="2" applyFont="1" applyBorder="1" applyAlignment="1" applyProtection="1">
      <alignment horizontal="center" vertical="center"/>
    </xf>
    <xf numFmtId="0" fontId="40" fillId="0" borderId="7" xfId="2" applyFont="1" applyBorder="1" applyAlignment="1" applyProtection="1">
      <alignment horizontal="center" vertical="center"/>
    </xf>
    <xf numFmtId="0" fontId="40" fillId="0" borderId="9" xfId="2" applyFont="1" applyBorder="1" applyAlignment="1" applyProtection="1">
      <alignment horizontal="center" vertical="center"/>
    </xf>
    <xf numFmtId="0" fontId="40" fillId="0" borderId="45" xfId="2" applyFont="1" applyBorder="1" applyAlignment="1" applyProtection="1">
      <alignment horizontal="center" vertical="center"/>
    </xf>
    <xf numFmtId="0" fontId="41" fillId="0" borderId="7" xfId="2" applyFont="1" applyBorder="1" applyAlignment="1" applyProtection="1">
      <alignment horizontal="center" vertical="center"/>
    </xf>
    <xf numFmtId="0" fontId="41" fillId="0" borderId="9" xfId="2" applyFont="1" applyBorder="1" applyAlignment="1" applyProtection="1">
      <alignment horizontal="center" vertical="center"/>
    </xf>
    <xf numFmtId="0" fontId="41" fillId="0" borderId="45" xfId="2" applyFont="1" applyBorder="1" applyAlignment="1" applyProtection="1">
      <alignment horizontal="center" vertical="center"/>
    </xf>
    <xf numFmtId="0" fontId="32" fillId="0" borderId="46" xfId="2" applyFont="1" applyBorder="1" applyAlignment="1" applyProtection="1">
      <alignment horizontal="center" vertical="center"/>
    </xf>
    <xf numFmtId="0" fontId="32" fillId="0" borderId="15" xfId="2" applyFont="1" applyBorder="1" applyAlignment="1" applyProtection="1">
      <alignment horizontal="center" vertical="center"/>
    </xf>
    <xf numFmtId="0" fontId="32" fillId="0" borderId="47" xfId="2" applyFont="1" applyBorder="1" applyAlignment="1" applyProtection="1">
      <alignment horizontal="center" vertical="center"/>
    </xf>
    <xf numFmtId="0" fontId="29" fillId="0" borderId="33" xfId="2" applyFont="1" applyBorder="1" applyAlignment="1" applyProtection="1">
      <alignment horizontal="center" vertical="center"/>
    </xf>
    <xf numFmtId="0" fontId="29" fillId="0" borderId="9" xfId="2" applyFont="1" applyBorder="1" applyAlignment="1" applyProtection="1">
      <alignment horizontal="center" vertical="center"/>
    </xf>
    <xf numFmtId="0" fontId="29" fillId="0" borderId="45" xfId="2" applyFont="1" applyBorder="1" applyAlignment="1" applyProtection="1">
      <alignment horizontal="center" vertical="center"/>
    </xf>
    <xf numFmtId="0" fontId="40" fillId="0" borderId="7" xfId="2" applyFont="1" applyBorder="1" applyAlignment="1" applyProtection="1">
      <alignment horizontal="center" vertical="center" wrapText="1"/>
    </xf>
    <xf numFmtId="0" fontId="40" fillId="0" borderId="9" xfId="2" applyFont="1" applyBorder="1" applyAlignment="1" applyProtection="1">
      <alignment horizontal="center" vertical="center" wrapText="1"/>
    </xf>
    <xf numFmtId="0" fontId="40" fillId="0" borderId="45" xfId="2" applyFont="1" applyBorder="1" applyAlignment="1" applyProtection="1">
      <alignment horizontal="center" vertical="center" wrapText="1"/>
    </xf>
    <xf numFmtId="0" fontId="31" fillId="0" borderId="17" xfId="3" applyFont="1" applyBorder="1" applyAlignment="1" applyProtection="1">
      <alignment horizontal="center" vertical="center" wrapText="1"/>
    </xf>
    <xf numFmtId="0" fontId="31" fillId="0" borderId="18" xfId="3" applyFont="1" applyBorder="1" applyAlignment="1" applyProtection="1">
      <alignment horizontal="center" vertical="center" wrapText="1"/>
    </xf>
    <xf numFmtId="0" fontId="31" fillId="0" borderId="19" xfId="3" applyFont="1" applyBorder="1" applyAlignment="1" applyProtection="1">
      <alignment horizontal="center" vertical="center" wrapText="1"/>
    </xf>
    <xf numFmtId="0" fontId="32" fillId="0" borderId="55" xfId="2" applyFont="1" applyBorder="1" applyAlignment="1" applyProtection="1">
      <alignment horizontal="center" vertical="center" wrapText="1"/>
    </xf>
    <xf numFmtId="0" fontId="32" fillId="0" borderId="53" xfId="2" applyFont="1" applyBorder="1" applyAlignment="1" applyProtection="1">
      <alignment horizontal="center" vertical="center" wrapText="1"/>
    </xf>
    <xf numFmtId="0" fontId="32" fillId="0" borderId="41" xfId="2" applyFont="1" applyBorder="1" applyAlignment="1" applyProtection="1">
      <alignment horizontal="center" vertical="center" wrapText="1"/>
    </xf>
    <xf numFmtId="0" fontId="32" fillId="0" borderId="7" xfId="2" applyFont="1" applyBorder="1" applyAlignment="1" applyProtection="1">
      <alignment horizontal="center" vertical="center" wrapText="1"/>
    </xf>
    <xf numFmtId="0" fontId="32" fillId="0" borderId="9" xfId="2" applyFont="1" applyBorder="1" applyAlignment="1" applyProtection="1">
      <alignment horizontal="center" vertical="center" wrapText="1"/>
    </xf>
    <xf numFmtId="0" fontId="32" fillId="0" borderId="45" xfId="2" applyFont="1" applyBorder="1" applyAlignment="1" applyProtection="1">
      <alignment horizontal="center" vertical="center" wrapText="1"/>
    </xf>
    <xf numFmtId="0" fontId="29" fillId="0" borderId="35" xfId="3" applyFont="1" applyBorder="1" applyAlignment="1" applyProtection="1">
      <alignment horizontal="center" vertical="center" wrapText="1"/>
    </xf>
    <xf numFmtId="0" fontId="29" fillId="0" borderId="36" xfId="3" applyFont="1" applyBorder="1" applyAlignment="1" applyProtection="1">
      <alignment horizontal="center" vertical="center" wrapText="1"/>
    </xf>
    <xf numFmtId="0" fontId="29" fillId="0" borderId="49" xfId="3" applyFont="1" applyBorder="1" applyAlignment="1" applyProtection="1">
      <alignment horizontal="center" vertical="center" wrapText="1"/>
    </xf>
    <xf numFmtId="0" fontId="40" fillId="0" borderId="52" xfId="0" applyFont="1" applyBorder="1" applyAlignment="1" applyProtection="1">
      <alignment horizontal="center" vertical="center"/>
    </xf>
    <xf numFmtId="0" fontId="40" fillId="0" borderId="29" xfId="0" applyFont="1" applyBorder="1" applyAlignment="1" applyProtection="1">
      <alignment horizontal="center" vertical="center"/>
    </xf>
    <xf numFmtId="0" fontId="40" fillId="0" borderId="48" xfId="0" applyFont="1" applyBorder="1" applyAlignment="1" applyProtection="1">
      <alignment horizontal="center" vertical="center"/>
    </xf>
    <xf numFmtId="0" fontId="40" fillId="0" borderId="40" xfId="2" applyFont="1" applyBorder="1" applyAlignment="1" applyProtection="1">
      <alignment horizontal="center" vertical="center"/>
    </xf>
    <xf numFmtId="0" fontId="40" fillId="0" borderId="31" xfId="2"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21" xfId="0" applyFont="1" applyBorder="1" applyAlignment="1" applyProtection="1">
      <alignment horizontal="center" vertical="center"/>
    </xf>
    <xf numFmtId="0" fontId="52" fillId="0" borderId="22" xfId="0" applyFont="1" applyBorder="1" applyAlignment="1" applyProtection="1">
      <alignment horizontal="center" vertical="center"/>
    </xf>
    <xf numFmtId="1" fontId="27" fillId="0" borderId="1" xfId="0" applyNumberFormat="1" applyFont="1" applyBorder="1" applyAlignment="1" applyProtection="1">
      <alignment horizontal="right" vertical="center" wrapText="1"/>
    </xf>
    <xf numFmtId="1" fontId="27" fillId="0" borderId="2" xfId="0" applyNumberFormat="1" applyFont="1" applyBorder="1" applyAlignment="1" applyProtection="1">
      <alignment horizontal="right" vertical="center" wrapText="1"/>
    </xf>
    <xf numFmtId="0" fontId="32" fillId="0" borderId="33" xfId="2" applyFont="1" applyBorder="1" applyAlignment="1" applyProtection="1">
      <alignment horizontal="center" vertical="center"/>
    </xf>
    <xf numFmtId="0" fontId="32" fillId="0" borderId="8" xfId="2" applyFont="1" applyBorder="1" applyAlignment="1" applyProtection="1">
      <alignment horizontal="center" vertical="center"/>
    </xf>
    <xf numFmtId="0" fontId="40" fillId="0" borderId="28" xfId="2" applyFont="1" applyBorder="1" applyAlignment="1" applyProtection="1">
      <alignment horizontal="center" vertical="center"/>
    </xf>
    <xf numFmtId="0" fontId="40" fillId="0" borderId="29" xfId="2" applyFont="1" applyBorder="1" applyAlignment="1" applyProtection="1">
      <alignment horizontal="center" vertical="center"/>
    </xf>
    <xf numFmtId="0" fontId="40" fillId="0" borderId="30" xfId="2" applyFont="1" applyBorder="1" applyAlignment="1" applyProtection="1">
      <alignment horizontal="center" vertical="center"/>
    </xf>
    <xf numFmtId="0" fontId="29" fillId="0" borderId="20" xfId="3" applyFont="1" applyBorder="1" applyAlignment="1" applyProtection="1">
      <alignment horizontal="center" vertical="center" wrapText="1"/>
    </xf>
    <xf numFmtId="0" fontId="29" fillId="0" borderId="21" xfId="3" applyFont="1" applyBorder="1" applyAlignment="1" applyProtection="1">
      <alignment horizontal="center" vertical="center" wrapText="1"/>
    </xf>
    <xf numFmtId="0" fontId="29" fillId="0" borderId="92" xfId="3" applyFont="1" applyBorder="1" applyAlignment="1" applyProtection="1">
      <alignment horizontal="center" vertical="center" wrapText="1"/>
    </xf>
    <xf numFmtId="0" fontId="29" fillId="0" borderId="66" xfId="3" applyFont="1" applyBorder="1" applyAlignment="1" applyProtection="1">
      <alignment horizontal="center" vertical="center" wrapText="1"/>
    </xf>
    <xf numFmtId="0" fontId="29" fillId="0" borderId="67" xfId="3" applyFont="1" applyBorder="1" applyAlignment="1" applyProtection="1">
      <alignment horizontal="center" vertical="center" wrapText="1"/>
    </xf>
    <xf numFmtId="0" fontId="32" fillId="0" borderId="34" xfId="2" applyFont="1" applyBorder="1" applyAlignment="1" applyProtection="1">
      <alignment horizontal="center" vertical="center"/>
    </xf>
    <xf numFmtId="0" fontId="32" fillId="0" borderId="53" xfId="2" applyFont="1" applyBorder="1" applyAlignment="1" applyProtection="1">
      <alignment horizontal="center" vertical="center"/>
    </xf>
    <xf numFmtId="0" fontId="32" fillId="0" borderId="61" xfId="2" applyFont="1" applyBorder="1" applyAlignment="1" applyProtection="1">
      <alignment horizontal="center" vertical="center"/>
    </xf>
    <xf numFmtId="0" fontId="32" fillId="0" borderId="55" xfId="2" applyFont="1" applyBorder="1" applyAlignment="1" applyProtection="1">
      <alignment horizontal="center" vertical="center"/>
    </xf>
    <xf numFmtId="0" fontId="32" fillId="0" borderId="41" xfId="2" applyFont="1" applyBorder="1" applyAlignment="1" applyProtection="1">
      <alignment horizontal="center" vertical="center"/>
    </xf>
    <xf numFmtId="0" fontId="24" fillId="0" borderId="0" xfId="0" applyFont="1" applyBorder="1" applyAlignment="1" applyProtection="1">
      <alignment horizontal="center" vertical="center"/>
    </xf>
    <xf numFmtId="0" fontId="30" fillId="0" borderId="0" xfId="2" applyFont="1" applyBorder="1" applyAlignment="1" applyProtection="1">
      <alignment horizontal="center"/>
    </xf>
    <xf numFmtId="0" fontId="31" fillId="8" borderId="1" xfId="3" applyFont="1" applyFill="1" applyBorder="1" applyAlignment="1" applyProtection="1">
      <alignment horizontal="center" vertical="center" wrapText="1"/>
    </xf>
    <xf numFmtId="0" fontId="31" fillId="8" borderId="2" xfId="3" applyFont="1" applyFill="1" applyBorder="1" applyAlignment="1" applyProtection="1">
      <alignment horizontal="center" vertical="center" wrapText="1"/>
    </xf>
    <xf numFmtId="0" fontId="31" fillId="8" borderId="3" xfId="3" applyFont="1" applyFill="1" applyBorder="1" applyAlignment="1" applyProtection="1">
      <alignment horizontal="center" vertical="center" wrapText="1"/>
    </xf>
    <xf numFmtId="0" fontId="28" fillId="7" borderId="0" xfId="3" applyFont="1" applyFill="1" applyAlignment="1" applyProtection="1">
      <alignment horizontal="center" vertical="center" wrapText="1"/>
    </xf>
    <xf numFmtId="0" fontId="28" fillId="10" borderId="21" xfId="3" applyFont="1" applyFill="1" applyBorder="1" applyAlignment="1" applyProtection="1">
      <alignment horizontal="center" vertical="center" wrapText="1"/>
    </xf>
    <xf numFmtId="0" fontId="24" fillId="0" borderId="0" xfId="0" applyFont="1" applyBorder="1" applyAlignment="1" applyProtection="1">
      <alignment horizontal="center"/>
    </xf>
    <xf numFmtId="2" fontId="24" fillId="10" borderId="88" xfId="0" applyNumberFormat="1" applyFont="1" applyFill="1" applyBorder="1" applyAlignment="1" applyProtection="1">
      <alignment horizontal="center" vertical="center"/>
    </xf>
    <xf numFmtId="2" fontId="24" fillId="10" borderId="82" xfId="0" applyNumberFormat="1" applyFont="1" applyFill="1" applyBorder="1" applyAlignment="1" applyProtection="1">
      <alignment horizontal="center" vertical="center"/>
    </xf>
    <xf numFmtId="2" fontId="24" fillId="10" borderId="85" xfId="0" applyNumberFormat="1" applyFont="1" applyFill="1" applyBorder="1" applyAlignment="1" applyProtection="1">
      <alignment horizontal="center" vertical="center"/>
    </xf>
    <xf numFmtId="2" fontId="24" fillId="4" borderId="88" xfId="0" applyNumberFormat="1" applyFont="1" applyFill="1" applyBorder="1" applyAlignment="1" applyProtection="1">
      <alignment horizontal="center" vertical="center"/>
    </xf>
    <xf numFmtId="2" fontId="24" fillId="4" borderId="85" xfId="0" applyNumberFormat="1" applyFont="1" applyFill="1" applyBorder="1" applyAlignment="1" applyProtection="1">
      <alignment horizontal="center" vertical="center"/>
    </xf>
    <xf numFmtId="2" fontId="24" fillId="10" borderId="87" xfId="0" applyNumberFormat="1" applyFont="1" applyFill="1" applyBorder="1" applyAlignment="1" applyProtection="1">
      <alignment horizontal="center" vertical="center" wrapText="1"/>
    </xf>
    <xf numFmtId="2" fontId="24" fillId="10" borderId="54" xfId="0" applyNumberFormat="1" applyFont="1" applyFill="1" applyBorder="1" applyAlignment="1" applyProtection="1">
      <alignment horizontal="center" vertical="center" wrapText="1"/>
    </xf>
    <xf numFmtId="2" fontId="24" fillId="10" borderId="84" xfId="0" applyNumberFormat="1" applyFont="1" applyFill="1" applyBorder="1" applyAlignment="1" applyProtection="1">
      <alignment horizontal="center" vertical="center" wrapText="1"/>
    </xf>
    <xf numFmtId="2" fontId="24" fillId="4" borderId="87" xfId="0" applyNumberFormat="1" applyFont="1" applyFill="1" applyBorder="1" applyAlignment="1" applyProtection="1">
      <alignment horizontal="center" vertical="center" wrapText="1"/>
    </xf>
    <xf numFmtId="2" fontId="24" fillId="4" borderId="84" xfId="0" applyNumberFormat="1" applyFont="1" applyFill="1" applyBorder="1" applyAlignment="1" applyProtection="1">
      <alignment horizontal="center" vertical="center" wrapText="1"/>
    </xf>
    <xf numFmtId="164" fontId="24" fillId="10" borderId="87" xfId="0" applyNumberFormat="1" applyFont="1" applyFill="1" applyBorder="1" applyAlignment="1" applyProtection="1">
      <alignment horizontal="center" vertical="center"/>
    </xf>
    <xf numFmtId="164" fontId="24" fillId="10" borderId="84" xfId="0" applyNumberFormat="1" applyFont="1" applyFill="1" applyBorder="1" applyAlignment="1" applyProtection="1">
      <alignment horizontal="center" vertical="center"/>
    </xf>
    <xf numFmtId="0" fontId="24" fillId="10" borderId="87" xfId="0" applyFont="1" applyFill="1" applyBorder="1" applyAlignment="1" applyProtection="1">
      <alignment horizontal="center" vertical="center"/>
    </xf>
    <xf numFmtId="0" fontId="24" fillId="10" borderId="54" xfId="0" applyFont="1" applyFill="1" applyBorder="1" applyAlignment="1" applyProtection="1">
      <alignment horizontal="center" vertical="center"/>
    </xf>
    <xf numFmtId="0" fontId="24" fillId="10" borderId="84" xfId="0" applyFont="1" applyFill="1" applyBorder="1" applyAlignment="1" applyProtection="1">
      <alignment horizontal="center" vertical="center"/>
    </xf>
    <xf numFmtId="164" fontId="24" fillId="4" borderId="87" xfId="0" applyNumberFormat="1" applyFont="1" applyFill="1" applyBorder="1" applyAlignment="1" applyProtection="1">
      <alignment horizontal="center" vertical="center"/>
    </xf>
    <xf numFmtId="164" fontId="24" fillId="4" borderId="84" xfId="0" applyNumberFormat="1" applyFont="1" applyFill="1" applyBorder="1" applyAlignment="1" applyProtection="1">
      <alignment horizontal="center" vertical="center"/>
    </xf>
    <xf numFmtId="0" fontId="24" fillId="0" borderId="51" xfId="0" applyFont="1" applyBorder="1" applyAlignment="1" applyProtection="1">
      <alignment horizontal="center" vertical="center"/>
      <protection locked="0"/>
    </xf>
    <xf numFmtId="0" fontId="24" fillId="0" borderId="65" xfId="0" applyFont="1" applyBorder="1" applyAlignment="1" applyProtection="1">
      <alignment horizontal="center" vertical="center"/>
      <protection locked="0"/>
    </xf>
    <xf numFmtId="0" fontId="24" fillId="0" borderId="51" xfId="0" applyFont="1" applyBorder="1" applyAlignment="1" applyProtection="1">
      <alignment horizontal="center" vertical="center" wrapText="1"/>
      <protection locked="0"/>
    </xf>
    <xf numFmtId="0" fontId="24" fillId="0" borderId="75" xfId="0" applyFont="1" applyBorder="1" applyAlignment="1" applyProtection="1">
      <alignment horizontal="center" vertical="center" wrapText="1"/>
      <protection locked="0"/>
    </xf>
    <xf numFmtId="0" fontId="24" fillId="0" borderId="65" xfId="0" applyFont="1" applyBorder="1" applyAlignment="1" applyProtection="1">
      <alignment horizontal="center" vertical="center" wrapText="1"/>
      <protection locked="0"/>
    </xf>
    <xf numFmtId="2" fontId="24" fillId="0" borderId="51" xfId="0" applyNumberFormat="1" applyFont="1" applyBorder="1" applyAlignment="1" applyProtection="1">
      <alignment horizontal="center" vertical="center" wrapText="1"/>
      <protection locked="0"/>
    </xf>
    <xf numFmtId="2" fontId="24" fillId="0" borderId="65" xfId="0" applyNumberFormat="1" applyFont="1" applyBorder="1" applyAlignment="1" applyProtection="1">
      <alignment horizontal="center" vertical="center" wrapText="1"/>
      <protection locked="0"/>
    </xf>
    <xf numFmtId="0" fontId="25" fillId="8" borderId="42" xfId="0" applyFont="1" applyFill="1" applyBorder="1" applyAlignment="1" applyProtection="1">
      <alignment horizontal="center" vertical="center"/>
      <protection locked="0"/>
    </xf>
    <xf numFmtId="0" fontId="25" fillId="8" borderId="0" xfId="0" applyFont="1" applyFill="1" applyBorder="1" applyAlignment="1" applyProtection="1">
      <alignment horizontal="center" vertical="center"/>
      <protection locked="0"/>
    </xf>
    <xf numFmtId="0" fontId="25" fillId="8" borderId="20" xfId="0" applyFont="1" applyFill="1" applyBorder="1" applyAlignment="1" applyProtection="1">
      <alignment horizontal="center" vertical="center"/>
      <protection locked="0"/>
    </xf>
    <xf numFmtId="0" fontId="25" fillId="8" borderId="21" xfId="0" applyFont="1" applyFill="1" applyBorder="1" applyAlignment="1" applyProtection="1">
      <alignment horizontal="center" vertical="center"/>
      <protection locked="0"/>
    </xf>
    <xf numFmtId="9" fontId="30" fillId="0" borderId="51" xfId="0" applyNumberFormat="1" applyFont="1" applyBorder="1" applyAlignment="1" applyProtection="1">
      <alignment horizontal="center" vertical="center" wrapText="1"/>
      <protection locked="0"/>
    </xf>
    <xf numFmtId="0" fontId="30" fillId="0" borderId="65"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6" xfId="0" applyFont="1" applyBorder="1" applyAlignment="1" applyProtection="1">
      <alignment horizontal="center" vertical="center" wrapText="1"/>
    </xf>
    <xf numFmtId="0" fontId="27" fillId="0" borderId="37"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4" fillId="0" borderId="37" xfId="0" applyFont="1" applyBorder="1" applyAlignment="1" applyProtection="1">
      <alignment horizontal="center" vertical="center" wrapText="1"/>
    </xf>
    <xf numFmtId="0" fontId="24" fillId="0" borderId="27" xfId="0" applyFont="1" applyBorder="1" applyAlignment="1" applyProtection="1">
      <alignment horizontal="center" vertical="center" wrapText="1"/>
    </xf>
    <xf numFmtId="0" fontId="24" fillId="0" borderId="27" xfId="0" applyFont="1" applyBorder="1" applyAlignment="1" applyProtection="1">
      <alignment horizontal="center" vertical="center"/>
    </xf>
    <xf numFmtId="0" fontId="24" fillId="0" borderId="38" xfId="0" applyFont="1" applyBorder="1" applyAlignment="1" applyProtection="1">
      <alignment horizontal="center" vertical="center"/>
    </xf>
    <xf numFmtId="0" fontId="24" fillId="0" borderId="38" xfId="0" applyFont="1" applyBorder="1" applyAlignment="1" applyProtection="1">
      <alignment horizontal="center" vertical="center" wrapText="1"/>
    </xf>
    <xf numFmtId="9" fontId="30" fillId="0" borderId="51" xfId="0" applyNumberFormat="1" applyFont="1" applyBorder="1" applyAlignment="1" applyProtection="1">
      <alignment horizontal="center" vertical="center" wrapText="1"/>
    </xf>
    <xf numFmtId="0" fontId="30" fillId="0" borderId="65" xfId="0" applyFont="1" applyBorder="1" applyAlignment="1" applyProtection="1">
      <alignment horizontal="center" vertical="center" wrapText="1"/>
    </xf>
    <xf numFmtId="0" fontId="24" fillId="0" borderId="14" xfId="0"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51" xfId="0" applyFont="1" applyBorder="1" applyAlignment="1" applyProtection="1">
      <alignment horizontal="center" vertical="center"/>
    </xf>
    <xf numFmtId="0" fontId="24" fillId="0" borderId="65" xfId="0" applyFont="1" applyBorder="1" applyAlignment="1" applyProtection="1">
      <alignment horizontal="center" vertical="center"/>
    </xf>
    <xf numFmtId="0" fontId="24" fillId="0" borderId="51" xfId="0" applyFont="1" applyBorder="1" applyAlignment="1" applyProtection="1">
      <alignment horizontal="center" vertical="center" wrapText="1"/>
    </xf>
    <xf numFmtId="0" fontId="24" fillId="0" borderId="65" xfId="0" applyFont="1" applyBorder="1" applyAlignment="1" applyProtection="1">
      <alignment horizontal="center" vertical="center" wrapText="1"/>
    </xf>
    <xf numFmtId="0" fontId="26" fillId="12" borderId="17" xfId="0" applyFont="1" applyFill="1" applyBorder="1" applyAlignment="1" applyProtection="1">
      <alignment horizontal="center" vertical="center"/>
    </xf>
    <xf numFmtId="0" fontId="26" fillId="12" borderId="18" xfId="0" applyFont="1" applyFill="1" applyBorder="1" applyAlignment="1" applyProtection="1">
      <alignment horizontal="center" vertical="center"/>
    </xf>
    <xf numFmtId="0" fontId="26" fillId="12" borderId="20" xfId="0" applyFont="1" applyFill="1" applyBorder="1" applyAlignment="1" applyProtection="1">
      <alignment horizontal="center" vertical="center"/>
    </xf>
    <xf numFmtId="0" fontId="26" fillId="12" borderId="21" xfId="0" applyFont="1" applyFill="1" applyBorder="1" applyAlignment="1" applyProtection="1">
      <alignment horizontal="center" vertical="center"/>
    </xf>
    <xf numFmtId="0" fontId="27" fillId="0" borderId="71" xfId="0" applyFont="1" applyBorder="1" applyAlignment="1" applyProtection="1">
      <alignment horizontal="center" vertical="center"/>
    </xf>
    <xf numFmtId="0" fontId="27" fillId="0" borderId="37" xfId="0" applyFont="1" applyBorder="1" applyAlignment="1" applyProtection="1">
      <alignment horizontal="center" vertical="center"/>
    </xf>
    <xf numFmtId="0" fontId="24" fillId="0" borderId="10" xfId="0" applyFont="1" applyBorder="1" applyAlignment="1" applyProtection="1">
      <alignment horizontal="center" vertical="center" wrapText="1"/>
    </xf>
    <xf numFmtId="0" fontId="24" fillId="0" borderId="12" xfId="0" applyFont="1" applyBorder="1" applyAlignment="1" applyProtection="1">
      <alignment horizontal="center" vertical="center" wrapText="1"/>
    </xf>
    <xf numFmtId="0" fontId="24" fillId="11" borderId="71" xfId="0" applyFont="1" applyFill="1" applyBorder="1" applyAlignment="1" applyProtection="1">
      <alignment horizontal="center" vertical="center"/>
      <protection locked="0"/>
    </xf>
    <xf numFmtId="0" fontId="24" fillId="11" borderId="37" xfId="0" applyFont="1" applyFill="1" applyBorder="1" applyAlignment="1" applyProtection="1">
      <alignment horizontal="center" vertical="center"/>
      <protection locked="0"/>
    </xf>
    <xf numFmtId="44" fontId="24" fillId="11" borderId="38" xfId="0" applyNumberFormat="1" applyFont="1" applyFill="1" applyBorder="1" applyAlignment="1" applyProtection="1">
      <alignment horizontal="center" vertical="center"/>
      <protection locked="0"/>
    </xf>
    <xf numFmtId="44" fontId="24" fillId="11" borderId="37" xfId="0" applyNumberFormat="1" applyFont="1" applyFill="1" applyBorder="1" applyAlignment="1" applyProtection="1">
      <alignment horizontal="center" vertical="center"/>
      <protection locked="0"/>
    </xf>
    <xf numFmtId="0" fontId="27" fillId="0" borderId="71" xfId="0" applyFont="1" applyBorder="1" applyAlignment="1" applyProtection="1">
      <alignment horizontal="center" vertical="center" wrapText="1"/>
    </xf>
    <xf numFmtId="0" fontId="24" fillId="0" borderId="68" xfId="0" applyFont="1" applyBorder="1" applyAlignment="1" applyProtection="1">
      <alignment horizontal="center" vertical="center" wrapText="1"/>
    </xf>
    <xf numFmtId="0" fontId="24" fillId="0" borderId="69" xfId="0" applyFont="1" applyBorder="1" applyAlignment="1" applyProtection="1">
      <alignment horizontal="center" vertical="center" wrapText="1"/>
    </xf>
    <xf numFmtId="0" fontId="24" fillId="0" borderId="43"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2" fillId="0" borderId="2" xfId="0" applyFont="1" applyBorder="1" applyAlignment="1" applyProtection="1">
      <alignment horizontal="center" vertical="center" wrapText="1"/>
    </xf>
    <xf numFmtId="0" fontId="22" fillId="0" borderId="63" xfId="0" applyFont="1" applyBorder="1" applyAlignment="1" applyProtection="1">
      <alignment horizontal="center" vertical="center" wrapText="1"/>
    </xf>
    <xf numFmtId="0" fontId="24" fillId="0" borderId="50" xfId="0" applyFont="1" applyBorder="1" applyAlignment="1" applyProtection="1">
      <alignment horizontal="center" vertical="center" wrapText="1"/>
    </xf>
    <xf numFmtId="0" fontId="24" fillId="0" borderId="42"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77" xfId="0" applyFont="1" applyBorder="1" applyAlignment="1" applyProtection="1">
      <alignment horizontal="center" vertical="center" wrapText="1"/>
    </xf>
    <xf numFmtId="0" fontId="24" fillId="8" borderId="38" xfId="0" applyFont="1" applyFill="1" applyBorder="1" applyAlignment="1" applyProtection="1">
      <alignment horizontal="center" vertical="center"/>
    </xf>
    <xf numFmtId="0" fontId="24" fillId="8" borderId="37" xfId="0" applyFont="1" applyFill="1" applyBorder="1" applyAlignment="1" applyProtection="1">
      <alignment horizontal="center" vertical="center"/>
    </xf>
    <xf numFmtId="0" fontId="24" fillId="0" borderId="75" xfId="0" applyFont="1" applyBorder="1" applyAlignment="1" applyProtection="1">
      <alignment horizontal="center" vertical="center" wrapText="1"/>
    </xf>
    <xf numFmtId="2" fontId="24" fillId="0" borderId="51" xfId="0" applyNumberFormat="1" applyFont="1" applyBorder="1" applyAlignment="1" applyProtection="1">
      <alignment horizontal="center" vertical="center" wrapText="1"/>
    </xf>
    <xf numFmtId="2" fontId="24" fillId="0" borderId="65" xfId="0" applyNumberFormat="1" applyFont="1" applyBorder="1" applyAlignment="1" applyProtection="1">
      <alignment horizontal="center" vertical="center" wrapText="1"/>
    </xf>
    <xf numFmtId="0" fontId="27" fillId="0" borderId="38" xfId="0" applyFont="1" applyBorder="1" applyAlignment="1" applyProtection="1">
      <alignment horizontal="center" vertical="center" wrapText="1"/>
    </xf>
    <xf numFmtId="0" fontId="24" fillId="0" borderId="76" xfId="0" applyFont="1" applyBorder="1" applyAlignment="1" applyProtection="1">
      <alignment horizontal="center" vertical="center" wrapText="1"/>
      <protection locked="0"/>
    </xf>
    <xf numFmtId="0" fontId="24" fillId="0" borderId="76" xfId="0" applyFont="1" applyBorder="1" applyAlignment="1" applyProtection="1">
      <alignment horizontal="center" vertical="center" wrapText="1"/>
    </xf>
    <xf numFmtId="0" fontId="26" fillId="12" borderId="23" xfId="0" applyFont="1" applyFill="1" applyBorder="1" applyAlignment="1" applyProtection="1">
      <alignment horizontal="center" vertical="center"/>
    </xf>
    <xf numFmtId="0" fontId="26" fillId="12" borderId="24" xfId="0" applyFont="1" applyFill="1" applyBorder="1" applyAlignment="1" applyProtection="1">
      <alignment horizontal="center" vertical="center"/>
    </xf>
    <xf numFmtId="0" fontId="26" fillId="12" borderId="40" xfId="0" applyFont="1" applyFill="1" applyBorder="1" applyAlignment="1" applyProtection="1">
      <alignment horizontal="center" vertical="center"/>
    </xf>
    <xf numFmtId="0" fontId="26" fillId="12" borderId="31" xfId="0" applyFont="1" applyFill="1" applyBorder="1" applyAlignment="1" applyProtection="1">
      <alignment horizontal="center" vertical="center"/>
    </xf>
    <xf numFmtId="0" fontId="19" fillId="0" borderId="6" xfId="0" applyFont="1" applyBorder="1" applyAlignment="1">
      <alignment horizontal="center" vertical="center"/>
    </xf>
    <xf numFmtId="0" fontId="19" fillId="0" borderId="6" xfId="0" applyFont="1" applyBorder="1" applyAlignment="1">
      <alignment horizontal="center" vertical="center" wrapText="1"/>
    </xf>
    <xf numFmtId="0" fontId="0" fillId="0" borderId="6" xfId="0"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7" fillId="10" borderId="23" xfId="0" applyFont="1" applyFill="1" applyBorder="1" applyAlignment="1">
      <alignment horizontal="center" vertical="center"/>
    </xf>
    <xf numFmtId="0" fontId="27" fillId="10" borderId="26" xfId="0" applyFont="1" applyFill="1" applyBorder="1" applyAlignment="1">
      <alignment horizontal="center" vertical="center"/>
    </xf>
    <xf numFmtId="0" fontId="27" fillId="10" borderId="50" xfId="0" applyFont="1" applyFill="1" applyBorder="1" applyAlignment="1">
      <alignment horizontal="center" vertical="center"/>
    </xf>
    <xf numFmtId="0" fontId="27" fillId="10" borderId="40" xfId="0" applyFont="1" applyFill="1" applyBorder="1" applyAlignment="1">
      <alignment horizontal="center" vertical="center"/>
    </xf>
    <xf numFmtId="0" fontId="27" fillId="10" borderId="64" xfId="0" applyFont="1" applyFill="1" applyBorder="1" applyAlignment="1">
      <alignment horizontal="center" vertical="center"/>
    </xf>
    <xf numFmtId="0" fontId="11" fillId="2" borderId="0" xfId="3" applyFont="1" applyFill="1" applyBorder="1" applyAlignment="1">
      <alignment horizontal="center"/>
    </xf>
    <xf numFmtId="0" fontId="18" fillId="2" borderId="0" xfId="3" applyFont="1" applyFill="1" applyBorder="1" applyAlignment="1">
      <alignment horizontal="center"/>
    </xf>
    <xf numFmtId="0" fontId="1" fillId="2" borderId="0" xfId="3" applyFill="1" applyBorder="1" applyAlignment="1">
      <alignment horizontal="center" vertical="center"/>
    </xf>
    <xf numFmtId="165" fontId="1" fillId="2" borderId="0" xfId="3" applyNumberFormat="1" applyFill="1" applyBorder="1" applyAlignment="1">
      <alignment horizontal="center"/>
    </xf>
    <xf numFmtId="0" fontId="22" fillId="2" borderId="14" xfId="3" applyFont="1" applyFill="1" applyBorder="1" applyAlignment="1" applyProtection="1">
      <alignment horizontal="center" vertical="center" wrapText="1"/>
    </xf>
    <xf numFmtId="0" fontId="22" fillId="2" borderId="15" xfId="3" applyFont="1" applyFill="1" applyBorder="1" applyAlignment="1" applyProtection="1">
      <alignment horizontal="center" vertical="center" wrapText="1"/>
    </xf>
    <xf numFmtId="0" fontId="22" fillId="2" borderId="16" xfId="3" applyFont="1" applyFill="1" applyBorder="1" applyAlignment="1" applyProtection="1">
      <alignment horizontal="center" vertical="center" wrapText="1"/>
    </xf>
    <xf numFmtId="4" fontId="20" fillId="7" borderId="1" xfId="3" applyNumberFormat="1" applyFont="1" applyFill="1" applyBorder="1" applyAlignment="1" applyProtection="1">
      <alignment horizontal="center" vertical="center" wrapText="1"/>
      <protection locked="0"/>
    </xf>
    <xf numFmtId="4" fontId="20" fillId="7" borderId="2" xfId="3" applyNumberFormat="1" applyFont="1" applyFill="1" applyBorder="1" applyAlignment="1" applyProtection="1">
      <alignment horizontal="center" vertical="center" wrapText="1"/>
      <protection locked="0"/>
    </xf>
    <xf numFmtId="4" fontId="20" fillId="7" borderId="3" xfId="3" applyNumberFormat="1" applyFont="1" applyFill="1" applyBorder="1" applyAlignment="1" applyProtection="1">
      <alignment horizontal="center" vertical="center" wrapText="1"/>
      <protection locked="0"/>
    </xf>
    <xf numFmtId="0" fontId="22" fillId="2" borderId="6" xfId="3" applyFont="1" applyFill="1" applyBorder="1" applyAlignment="1" applyProtection="1">
      <alignment horizontal="center" wrapText="1"/>
    </xf>
    <xf numFmtId="0" fontId="25" fillId="2" borderId="14" xfId="3" applyFont="1" applyFill="1" applyBorder="1" applyAlignment="1" applyProtection="1">
      <alignment horizontal="center"/>
    </xf>
    <xf numFmtId="0" fontId="25" fillId="2" borderId="15" xfId="3" applyFont="1" applyFill="1" applyBorder="1" applyAlignment="1" applyProtection="1">
      <alignment horizontal="center"/>
    </xf>
    <xf numFmtId="0" fontId="25" fillId="2" borderId="16" xfId="3" applyFont="1" applyFill="1" applyBorder="1" applyAlignment="1" applyProtection="1">
      <alignment horizontal="center"/>
    </xf>
    <xf numFmtId="0" fontId="24" fillId="2" borderId="9" xfId="3" applyFont="1" applyFill="1" applyBorder="1" applyAlignment="1" applyProtection="1">
      <alignment horizontal="center" vertical="center"/>
    </xf>
    <xf numFmtId="165" fontId="24" fillId="2" borderId="15" xfId="3" applyNumberFormat="1" applyFont="1" applyFill="1" applyBorder="1" applyAlignment="1" applyProtection="1">
      <alignment horizontal="center"/>
    </xf>
    <xf numFmtId="165" fontId="24" fillId="2" borderId="0" xfId="3" applyNumberFormat="1" applyFont="1" applyFill="1" applyAlignment="1" applyProtection="1">
      <alignment horizontal="center"/>
    </xf>
    <xf numFmtId="0" fontId="22" fillId="2" borderId="7" xfId="3" applyFont="1" applyFill="1" applyBorder="1" applyAlignment="1" applyProtection="1">
      <alignment horizontal="center"/>
    </xf>
    <xf numFmtId="0" fontId="22" fillId="2" borderId="9" xfId="3" applyFont="1" applyFill="1" applyBorder="1" applyAlignment="1" applyProtection="1">
      <alignment horizontal="center"/>
    </xf>
    <xf numFmtId="0" fontId="24" fillId="2" borderId="17" xfId="3" applyFont="1" applyFill="1" applyBorder="1" applyAlignment="1" applyProtection="1">
      <alignment horizontal="center" vertical="center" wrapText="1"/>
    </xf>
    <xf numFmtId="0" fontId="24" fillId="2" borderId="18" xfId="3" applyFont="1" applyFill="1" applyBorder="1" applyAlignment="1" applyProtection="1">
      <alignment horizontal="center" vertical="center"/>
    </xf>
    <xf numFmtId="0" fontId="24" fillId="2" borderId="19" xfId="3" applyFont="1" applyFill="1" applyBorder="1" applyAlignment="1" applyProtection="1">
      <alignment horizontal="center" vertical="center"/>
    </xf>
    <xf numFmtId="0" fontId="24" fillId="2" borderId="42" xfId="3" applyFont="1" applyFill="1" applyBorder="1" applyAlignment="1" applyProtection="1">
      <alignment horizontal="center" vertical="center"/>
    </xf>
    <xf numFmtId="0" fontId="24" fillId="2" borderId="0" xfId="3" applyFont="1" applyFill="1" applyBorder="1" applyAlignment="1" applyProtection="1">
      <alignment horizontal="center" vertical="center"/>
    </xf>
    <xf numFmtId="0" fontId="24" fillId="2" borderId="39" xfId="3" applyFont="1" applyFill="1" applyBorder="1" applyAlignment="1" applyProtection="1">
      <alignment horizontal="center" vertical="center"/>
    </xf>
    <xf numFmtId="0" fontId="24" fillId="2" borderId="20" xfId="3" applyFont="1" applyFill="1" applyBorder="1" applyAlignment="1" applyProtection="1">
      <alignment horizontal="center" vertical="center"/>
    </xf>
    <xf numFmtId="0" fontId="24" fillId="2" borderId="21" xfId="3" applyFont="1" applyFill="1" applyBorder="1" applyAlignment="1" applyProtection="1">
      <alignment horizontal="center" vertical="center"/>
    </xf>
    <xf numFmtId="0" fontId="24" fillId="2" borderId="22" xfId="3" applyFont="1" applyFill="1" applyBorder="1" applyAlignment="1" applyProtection="1">
      <alignment horizontal="center" vertical="center"/>
    </xf>
    <xf numFmtId="0" fontId="24" fillId="4" borderId="0" xfId="3" applyFont="1" applyFill="1" applyAlignment="1">
      <alignment horizontal="center"/>
    </xf>
    <xf numFmtId="4" fontId="43" fillId="14" borderId="1" xfId="13" applyNumberFormat="1" applyFont="1" applyFill="1" applyBorder="1" applyAlignment="1" applyProtection="1">
      <alignment horizontal="center" vertical="center"/>
      <protection locked="0"/>
    </xf>
    <xf numFmtId="4" fontId="43" fillId="14" borderId="2" xfId="13" applyNumberFormat="1" applyFont="1" applyFill="1" applyBorder="1" applyAlignment="1" applyProtection="1">
      <alignment horizontal="center" vertical="center"/>
      <protection locked="0"/>
    </xf>
    <xf numFmtId="4" fontId="43" fillId="14" borderId="3" xfId="13" applyNumberFormat="1" applyFont="1" applyFill="1" applyBorder="1" applyAlignment="1" applyProtection="1">
      <alignment horizontal="center" vertical="center"/>
      <protection locked="0"/>
    </xf>
    <xf numFmtId="4" fontId="44" fillId="5" borderId="1" xfId="13" applyNumberFormat="1" applyFont="1" applyFill="1" applyBorder="1" applyAlignment="1">
      <alignment horizontal="center" vertical="center"/>
    </xf>
    <xf numFmtId="4" fontId="44" fillId="5" borderId="2" xfId="13" applyNumberFormat="1" applyFont="1" applyFill="1" applyBorder="1" applyAlignment="1">
      <alignment horizontal="center" vertical="center"/>
    </xf>
    <xf numFmtId="4" fontId="44" fillId="5" borderId="3" xfId="13" applyNumberFormat="1" applyFont="1" applyFill="1" applyBorder="1" applyAlignment="1">
      <alignment horizontal="center" vertical="center"/>
    </xf>
    <xf numFmtId="0" fontId="46" fillId="4" borderId="1" xfId="3" applyFont="1" applyFill="1" applyBorder="1" applyAlignment="1">
      <alignment horizontal="right" vertical="center"/>
    </xf>
    <xf numFmtId="0" fontId="46" fillId="4" borderId="2" xfId="3" applyFont="1" applyFill="1" applyBorder="1" applyAlignment="1">
      <alignment horizontal="right" vertical="center"/>
    </xf>
    <xf numFmtId="0" fontId="46" fillId="4" borderId="63" xfId="3" applyFont="1" applyFill="1" applyBorder="1" applyAlignment="1">
      <alignment horizontal="right" vertical="center"/>
    </xf>
    <xf numFmtId="0" fontId="30" fillId="0" borderId="51" xfId="0" applyFont="1" applyBorder="1" applyAlignment="1" applyProtection="1">
      <alignment horizontal="center" vertical="center" wrapText="1"/>
      <protection locked="0"/>
    </xf>
    <xf numFmtId="0" fontId="42" fillId="8" borderId="42" xfId="0" applyFont="1" applyFill="1" applyBorder="1" applyAlignment="1" applyProtection="1">
      <alignment horizontal="center" vertical="center"/>
      <protection locked="0"/>
    </xf>
    <xf numFmtId="0" fontId="42" fillId="8" borderId="0" xfId="0" applyFont="1" applyFill="1" applyBorder="1" applyAlignment="1" applyProtection="1">
      <alignment horizontal="center" vertical="center"/>
      <protection locked="0"/>
    </xf>
    <xf numFmtId="0" fontId="42" fillId="8" borderId="20" xfId="0" applyFont="1" applyFill="1" applyBorder="1" applyAlignment="1" applyProtection="1">
      <alignment horizontal="center" vertical="center"/>
      <protection locked="0"/>
    </xf>
    <xf numFmtId="0" fontId="42" fillId="8" borderId="21" xfId="0" applyFont="1" applyFill="1" applyBorder="1" applyAlignment="1" applyProtection="1">
      <alignment horizontal="center" vertical="center"/>
      <protection locked="0"/>
    </xf>
    <xf numFmtId="0" fontId="24" fillId="0" borderId="27"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43"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65" xfId="0" applyFont="1" applyBorder="1" applyAlignment="1">
      <alignment horizontal="center" vertical="center" wrapText="1"/>
    </xf>
    <xf numFmtId="0" fontId="24" fillId="0" borderId="14" xfId="0" applyFont="1" applyBorder="1" applyAlignment="1">
      <alignment horizontal="center" vertical="center"/>
    </xf>
    <xf numFmtId="0" fontId="24" fillId="0" borderId="16"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63"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65" xfId="0" applyFont="1" applyBorder="1" applyAlignment="1">
      <alignment horizontal="center" vertical="center" wrapText="1"/>
    </xf>
    <xf numFmtId="0" fontId="26" fillId="12" borderId="17" xfId="0" applyFont="1" applyFill="1" applyBorder="1" applyAlignment="1">
      <alignment horizontal="center" vertical="center"/>
    </xf>
    <xf numFmtId="0" fontId="26" fillId="12" borderId="18" xfId="0" applyFont="1" applyFill="1" applyBorder="1" applyAlignment="1">
      <alignment horizontal="center" vertical="center"/>
    </xf>
    <xf numFmtId="0" fontId="26" fillId="12" borderId="20" xfId="0" applyFont="1" applyFill="1" applyBorder="1" applyAlignment="1">
      <alignment horizontal="center" vertical="center"/>
    </xf>
    <xf numFmtId="0" fontId="26" fillId="12" borderId="21" xfId="0" applyFont="1" applyFill="1" applyBorder="1" applyAlignment="1">
      <alignment horizontal="center" vertical="center"/>
    </xf>
    <xf numFmtId="0" fontId="24" fillId="0" borderId="38"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42" xfId="0" applyFont="1" applyBorder="1" applyAlignment="1">
      <alignment horizontal="center" vertical="center" wrapText="1"/>
    </xf>
    <xf numFmtId="0" fontId="27" fillId="0" borderId="71" xfId="0" applyFont="1" applyBorder="1" applyAlignment="1">
      <alignment horizontal="center" vertical="center"/>
    </xf>
    <xf numFmtId="0" fontId="27" fillId="0" borderId="38" xfId="0" applyFont="1" applyBorder="1" applyAlignment="1">
      <alignment horizontal="center" vertical="center" wrapText="1"/>
    </xf>
    <xf numFmtId="0" fontId="27" fillId="0" borderId="71" xfId="0" applyFont="1" applyBorder="1" applyAlignment="1">
      <alignment horizontal="center" vertical="center" wrapText="1"/>
    </xf>
    <xf numFmtId="0" fontId="24" fillId="0" borderId="38" xfId="0" applyFont="1" applyBorder="1" applyAlignment="1">
      <alignment horizontal="center" vertical="center"/>
    </xf>
    <xf numFmtId="0" fontId="24" fillId="0" borderId="37"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77" xfId="0" applyFont="1" applyBorder="1" applyAlignment="1">
      <alignment horizontal="center" vertical="center" wrapText="1"/>
    </xf>
    <xf numFmtId="0" fontId="22" fillId="2" borderId="28" xfId="3" applyFont="1" applyFill="1" applyBorder="1" applyAlignment="1">
      <alignment horizontal="center"/>
    </xf>
    <xf numFmtId="0" fontId="22" fillId="2" borderId="29" xfId="3" applyFont="1" applyFill="1" applyBorder="1" applyAlignment="1">
      <alignment horizontal="center"/>
    </xf>
    <xf numFmtId="0" fontId="22" fillId="2" borderId="46" xfId="3" applyFont="1" applyFill="1" applyBorder="1" applyAlignment="1">
      <alignment horizontal="center" vertical="center" wrapText="1"/>
    </xf>
    <xf numFmtId="0" fontId="22" fillId="2" borderId="15" xfId="3" applyFont="1" applyFill="1" applyBorder="1" applyAlignment="1">
      <alignment horizontal="center" vertical="center" wrapText="1"/>
    </xf>
    <xf numFmtId="0" fontId="22" fillId="2" borderId="47" xfId="3" applyFont="1" applyFill="1" applyBorder="1" applyAlignment="1">
      <alignment horizontal="center" vertical="center" wrapText="1"/>
    </xf>
    <xf numFmtId="0" fontId="22" fillId="2" borderId="26" xfId="3" applyFont="1" applyFill="1" applyBorder="1" applyAlignment="1">
      <alignment horizontal="center" wrapText="1"/>
    </xf>
    <xf numFmtId="0" fontId="22" fillId="2" borderId="6" xfId="3" applyFont="1" applyFill="1" applyBorder="1" applyAlignment="1">
      <alignment horizontal="center" wrapText="1"/>
    </xf>
    <xf numFmtId="0" fontId="22" fillId="2" borderId="27" xfId="3" applyFont="1" applyFill="1" applyBorder="1" applyAlignment="1">
      <alignment horizontal="center" wrapText="1"/>
    </xf>
    <xf numFmtId="0" fontId="25" fillId="2" borderId="33" xfId="3" applyFont="1" applyFill="1" applyBorder="1" applyAlignment="1">
      <alignment horizontal="center"/>
    </xf>
    <xf numFmtId="0" fontId="25" fillId="2" borderId="9" xfId="3" applyFont="1" applyFill="1" applyBorder="1" applyAlignment="1">
      <alignment horizontal="center"/>
    </xf>
    <xf numFmtId="0" fontId="25" fillId="2" borderId="45" xfId="3" applyFont="1" applyFill="1" applyBorder="1" applyAlignment="1">
      <alignment horizontal="center"/>
    </xf>
    <xf numFmtId="0" fontId="24" fillId="2" borderId="15" xfId="3" applyFont="1" applyFill="1" applyBorder="1" applyAlignment="1">
      <alignment horizontal="center" vertical="center" wrapText="1"/>
    </xf>
    <xf numFmtId="0" fontId="24" fillId="2" borderId="5" xfId="3" applyFont="1" applyFill="1" applyBorder="1" applyAlignment="1">
      <alignment horizontal="center" vertical="center" wrapText="1"/>
    </xf>
    <xf numFmtId="4" fontId="34" fillId="7" borderId="7" xfId="3" applyNumberFormat="1" applyFont="1" applyFill="1" applyBorder="1" applyAlignment="1">
      <alignment horizontal="left" vertical="center" wrapText="1"/>
    </xf>
    <xf numFmtId="4" fontId="34" fillId="7" borderId="9" xfId="3" applyNumberFormat="1" applyFont="1" applyFill="1" applyBorder="1" applyAlignment="1">
      <alignment horizontal="left" vertical="center" wrapText="1"/>
    </xf>
    <xf numFmtId="4" fontId="34" fillId="7" borderId="8" xfId="3" applyNumberFormat="1" applyFont="1" applyFill="1" applyBorder="1" applyAlignment="1">
      <alignment horizontal="left" vertical="center" wrapText="1"/>
    </xf>
    <xf numFmtId="4" fontId="33" fillId="7" borderId="7" xfId="3" applyNumberFormat="1" applyFont="1" applyFill="1" applyBorder="1" applyAlignment="1">
      <alignment horizontal="left" vertical="center" wrapText="1"/>
    </xf>
    <xf numFmtId="4" fontId="33" fillId="7" borderId="9" xfId="3" applyNumberFormat="1" applyFont="1" applyFill="1" applyBorder="1" applyAlignment="1">
      <alignment horizontal="left" vertical="center" wrapText="1"/>
    </xf>
    <xf numFmtId="4" fontId="33" fillId="7" borderId="8" xfId="3" applyNumberFormat="1" applyFont="1" applyFill="1" applyBorder="1" applyAlignment="1">
      <alignment horizontal="left" vertical="center" wrapText="1"/>
    </xf>
    <xf numFmtId="4" fontId="33" fillId="7" borderId="7" xfId="3" applyNumberFormat="1" applyFont="1" applyFill="1" applyBorder="1" applyAlignment="1">
      <alignment horizontal="left" vertical="center"/>
    </xf>
    <xf numFmtId="4" fontId="33" fillId="7" borderId="9" xfId="3" applyNumberFormat="1" applyFont="1" applyFill="1" applyBorder="1" applyAlignment="1">
      <alignment horizontal="left" vertical="center"/>
    </xf>
    <xf numFmtId="4" fontId="33" fillId="7" borderId="8" xfId="3" applyNumberFormat="1" applyFont="1" applyFill="1" applyBorder="1" applyAlignment="1">
      <alignment horizontal="left" vertical="center"/>
    </xf>
    <xf numFmtId="4" fontId="21" fillId="2" borderId="7" xfId="3" applyNumberFormat="1" applyFont="1" applyFill="1" applyBorder="1" applyAlignment="1">
      <alignment horizontal="left" vertical="center"/>
    </xf>
    <xf numFmtId="4" fontId="21" fillId="2" borderId="9" xfId="3" applyNumberFormat="1" applyFont="1" applyFill="1" applyBorder="1" applyAlignment="1">
      <alignment horizontal="left" vertical="center"/>
    </xf>
    <xf numFmtId="4" fontId="21" fillId="2" borderId="8" xfId="3" applyNumberFormat="1" applyFont="1" applyFill="1" applyBorder="1" applyAlignment="1">
      <alignment horizontal="left" vertical="center"/>
    </xf>
    <xf numFmtId="0" fontId="45" fillId="0" borderId="17" xfId="0" applyFont="1" applyBorder="1" applyAlignment="1" applyProtection="1">
      <alignment horizontal="center" vertical="center" wrapText="1"/>
    </xf>
    <xf numFmtId="0" fontId="45" fillId="0" borderId="18" xfId="0" applyFont="1" applyBorder="1" applyAlignment="1" applyProtection="1">
      <alignment horizontal="center" vertical="center" wrapText="1"/>
    </xf>
    <xf numFmtId="0" fontId="45" fillId="0" borderId="19" xfId="0" applyFont="1" applyBorder="1" applyAlignment="1" applyProtection="1">
      <alignment horizontal="center" vertical="center" wrapText="1"/>
    </xf>
    <xf numFmtId="0" fontId="45" fillId="0" borderId="42" xfId="0" applyFont="1" applyBorder="1" applyAlignment="1" applyProtection="1">
      <alignment horizontal="center" vertical="center" wrapText="1"/>
    </xf>
    <xf numFmtId="0" fontId="45" fillId="0" borderId="0" xfId="0" applyFont="1" applyBorder="1" applyAlignment="1" applyProtection="1">
      <alignment horizontal="center" vertical="center" wrapText="1"/>
    </xf>
    <xf numFmtId="0" fontId="45" fillId="0" borderId="39" xfId="0" applyFont="1" applyBorder="1" applyAlignment="1" applyProtection="1">
      <alignment horizontal="center" vertical="center" wrapText="1"/>
    </xf>
    <xf numFmtId="0" fontId="45" fillId="0" borderId="20" xfId="0" applyFont="1" applyBorder="1" applyAlignment="1" applyProtection="1">
      <alignment horizontal="center" vertical="center" wrapText="1"/>
    </xf>
    <xf numFmtId="0" fontId="45" fillId="0" borderId="21" xfId="0" applyFont="1" applyBorder="1" applyAlignment="1" applyProtection="1">
      <alignment horizontal="center" vertical="center" wrapText="1"/>
    </xf>
    <xf numFmtId="0" fontId="45" fillId="0" borderId="22" xfId="0" applyFont="1" applyBorder="1" applyAlignment="1" applyProtection="1">
      <alignment horizontal="center" vertical="center" wrapText="1"/>
    </xf>
    <xf numFmtId="0" fontId="23" fillId="7" borderId="26" xfId="13" applyFont="1" applyFill="1" applyBorder="1" applyAlignment="1" applyProtection="1">
      <alignment horizontal="center"/>
    </xf>
    <xf numFmtId="0" fontId="23" fillId="7" borderId="6" xfId="13" applyFont="1" applyFill="1" applyBorder="1" applyAlignment="1" applyProtection="1">
      <alignment horizontal="center"/>
    </xf>
    <xf numFmtId="4" fontId="46" fillId="7" borderId="1" xfId="13" applyNumberFormat="1" applyFont="1" applyFill="1" applyBorder="1" applyAlignment="1" applyProtection="1">
      <alignment horizontal="center" vertical="center" wrapText="1"/>
      <protection locked="0"/>
    </xf>
    <xf numFmtId="4" fontId="46" fillId="7" borderId="2" xfId="13" applyNumberFormat="1" applyFont="1" applyFill="1" applyBorder="1" applyAlignment="1" applyProtection="1">
      <alignment horizontal="center" vertical="center" wrapText="1"/>
      <protection locked="0"/>
    </xf>
    <xf numFmtId="4" fontId="46" fillId="7" borderId="3" xfId="13" applyNumberFormat="1" applyFont="1" applyFill="1" applyBorder="1" applyAlignment="1" applyProtection="1">
      <alignment horizontal="center" vertical="center" wrapText="1"/>
      <protection locked="0"/>
    </xf>
    <xf numFmtId="0" fontId="21" fillId="0" borderId="1" xfId="13" applyFont="1" applyBorder="1" applyAlignment="1" applyProtection="1">
      <alignment horizontal="center"/>
    </xf>
    <xf numFmtId="0" fontId="21" fillId="0" borderId="2" xfId="13" applyFont="1" applyBorder="1" applyAlignment="1" applyProtection="1">
      <alignment horizontal="center"/>
    </xf>
    <xf numFmtId="0" fontId="21" fillId="0" borderId="3" xfId="13" applyFont="1" applyBorder="1" applyAlignment="1" applyProtection="1">
      <alignment horizontal="center"/>
    </xf>
    <xf numFmtId="0" fontId="21" fillId="7" borderId="1" xfId="13" applyFont="1" applyFill="1" applyBorder="1" applyAlignment="1" applyProtection="1">
      <alignment horizontal="center"/>
    </xf>
    <xf numFmtId="0" fontId="21" fillId="7" borderId="2" xfId="13" applyFont="1" applyFill="1" applyBorder="1" applyAlignment="1" applyProtection="1">
      <alignment horizontal="center"/>
    </xf>
    <xf numFmtId="0" fontId="21" fillId="7" borderId="3" xfId="13" applyFont="1" applyFill="1" applyBorder="1" applyAlignment="1" applyProtection="1">
      <alignment horizontal="center"/>
    </xf>
    <xf numFmtId="4" fontId="44" fillId="14" borderId="1" xfId="13" applyNumberFormat="1" applyFont="1" applyFill="1" applyBorder="1" applyAlignment="1" applyProtection="1">
      <alignment horizontal="center" vertical="center"/>
      <protection locked="0"/>
    </xf>
    <xf numFmtId="4" fontId="44" fillId="14" borderId="2" xfId="13" applyNumberFormat="1" applyFont="1" applyFill="1" applyBorder="1" applyAlignment="1" applyProtection="1">
      <alignment horizontal="center" vertical="center"/>
      <protection locked="0"/>
    </xf>
    <xf numFmtId="4" fontId="44" fillId="14" borderId="3" xfId="13" applyNumberFormat="1" applyFont="1" applyFill="1" applyBorder="1" applyAlignment="1" applyProtection="1">
      <alignment horizontal="center" vertical="center"/>
      <protection locked="0"/>
    </xf>
    <xf numFmtId="0" fontId="50" fillId="4" borderId="28" xfId="3" applyFont="1" applyFill="1" applyBorder="1" applyAlignment="1">
      <alignment horizontal="right" vertical="center" indent="1"/>
    </xf>
    <xf numFmtId="0" fontId="50" fillId="4" borderId="29" xfId="3" applyFont="1" applyFill="1" applyBorder="1" applyAlignment="1">
      <alignment horizontal="right" vertical="center" indent="1"/>
    </xf>
    <xf numFmtId="4" fontId="29" fillId="4" borderId="17" xfId="13" applyNumberFormat="1" applyFont="1" applyFill="1" applyBorder="1" applyAlignment="1">
      <alignment horizontal="left" vertical="center" wrapText="1"/>
    </xf>
    <xf numFmtId="4" fontId="29" fillId="4" borderId="18" xfId="13" applyNumberFormat="1" applyFont="1" applyFill="1" applyBorder="1" applyAlignment="1">
      <alignment horizontal="left" vertical="center" wrapText="1"/>
    </xf>
  </cellXfs>
  <cellStyles count="37">
    <cellStyle name="Moeda" xfId="15" builtinId="4"/>
    <cellStyle name="Moeda 10" xfId="23" xr:uid="{C63321FB-0B0C-46C1-BF8F-7F67ADF5D82C}"/>
    <cellStyle name="Moeda 2" xfId="12" xr:uid="{E832A35A-7566-47D2-8A9D-B417D9CBB282}"/>
    <cellStyle name="Moeda 2 2 2" xfId="31" xr:uid="{0F1578EC-6DF8-41E3-8BD2-31C12A52265A}"/>
    <cellStyle name="Moeda 3" xfId="17" xr:uid="{6270E955-681B-4E20-852E-E511D2649587}"/>
    <cellStyle name="Moeda 3 3" xfId="34" xr:uid="{AE36EF3F-5FF6-466A-86E4-4FFC52F9849E}"/>
    <cellStyle name="Moeda 3 4" xfId="28" xr:uid="{F7141AB0-FD31-45D9-9C10-CD379108EA71}"/>
    <cellStyle name="Moeda 4 2" xfId="4" xr:uid="{C97649BE-6E62-412A-8DB3-CB0CD1EFAA9F}"/>
    <cellStyle name="Moeda 5" xfId="20" xr:uid="{2C64E731-A744-4D05-8820-B69537EF956C}"/>
    <cellStyle name="Moeda 5 2" xfId="25" xr:uid="{3C6FA763-B4A8-432C-8939-8F5A16AFCC03}"/>
    <cellStyle name="Moeda 5 2 2" xfId="35" xr:uid="{2BEAC404-D7E0-40CC-8151-6ECF3426D603}"/>
    <cellStyle name="Moeda 9" xfId="8" xr:uid="{434C934F-12CE-40D8-AC21-7B182FB5D027}"/>
    <cellStyle name="Normal" xfId="0" builtinId="0"/>
    <cellStyle name="Normal 10" xfId="21" xr:uid="{DDDB749D-50E3-4F65-980B-9D7F7A332ED6}"/>
    <cellStyle name="Normal 2 2 2" xfId="13" xr:uid="{73094A7F-FD62-454D-9059-89C0FE0DE579}"/>
    <cellStyle name="Normal 2 2 2 2" xfId="3" xr:uid="{6A90371E-8D8B-4F63-8CFB-22854EA2E2C3}"/>
    <cellStyle name="Normal 2 2 5" xfId="22" xr:uid="{7404A240-A598-451F-8C03-80F605D95F18}"/>
    <cellStyle name="Normal 2 3" xfId="33" xr:uid="{1051966B-DDBD-47D4-B1D0-BBD6CC779640}"/>
    <cellStyle name="Normal 3 2" xfId="6" xr:uid="{E6858643-D531-4953-AD6A-A9ADDBC24E68}"/>
    <cellStyle name="Normal 3 2 2" xfId="29" xr:uid="{B47BD193-3D97-4D75-A1E8-480A0FB3D15A}"/>
    <cellStyle name="Normal 3 3" xfId="2" xr:uid="{C0077AFF-4941-4AD8-BB1E-CCF59B6BA978}"/>
    <cellStyle name="Normal 32" xfId="16" xr:uid="{C23F831F-5CC1-43FB-BE35-B0B578792844}"/>
    <cellStyle name="Normal 32 3" xfId="27" xr:uid="{397B6FEC-C7CF-4DA5-A85D-97D7988309EC}"/>
    <cellStyle name="Normal 4" xfId="18" xr:uid="{375272E3-C925-4A3A-81E4-E1C78ED0BED9}"/>
    <cellStyle name="Normal 4 2 2" xfId="36" xr:uid="{C0337B4C-956D-4E63-9E95-FE560073F764}"/>
    <cellStyle name="Normal 7" xfId="9" xr:uid="{66C1054E-D6B3-44B3-B0D4-CC1CF3954C97}"/>
    <cellStyle name="Normal 9" xfId="32" xr:uid="{C3E8558F-D31B-4E68-8F6F-6905D444673C}"/>
    <cellStyle name="Porcentagem" xfId="1" builtinId="5"/>
    <cellStyle name="Porcentagem 12" xfId="30" xr:uid="{3760D452-DB30-4803-B598-131DD965228F}"/>
    <cellStyle name="Porcentagem 2 2" xfId="14" xr:uid="{66B98F82-E954-4392-84E0-37155BE05F21}"/>
    <cellStyle name="Porcentagem 3" xfId="5" xr:uid="{79048257-9E7F-46C8-9D49-E66641C9452E}"/>
    <cellStyle name="Porcentagem 5" xfId="19" xr:uid="{3D322209-FCD9-478B-810F-BAB4A40C77C1}"/>
    <cellStyle name="Porcentagem 5 2" xfId="24" xr:uid="{0F3C1B90-3784-4384-A0CA-4A7846FF96D0}"/>
    <cellStyle name="Porcentagem 9" xfId="7" xr:uid="{3D232022-095E-4406-82F7-8A1F6F46E47F}"/>
    <cellStyle name="Texto Explicativo 2" xfId="10" xr:uid="{F44F3A4E-D6EA-455B-9232-548AD964B5FD}"/>
    <cellStyle name="Vírgula 2 2" xfId="11" xr:uid="{01C677AF-25EE-4159-B470-3FA2BBA15038}"/>
    <cellStyle name="Vírgula 2 2 3" xfId="26" xr:uid="{E594B31D-6F81-4E5C-91B3-F68326516DA5}"/>
  </cellStyles>
  <dxfs count="2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AFAFA"/>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AFAFA"/>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AFAFA"/>
      <color rgb="FFFFFFCC"/>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59"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285750</xdr:colOff>
      <xdr:row>9</xdr:row>
      <xdr:rowOff>58615</xdr:rowOff>
    </xdr:from>
    <xdr:to>
      <xdr:col>2</xdr:col>
      <xdr:colOff>483577</xdr:colOff>
      <xdr:row>9</xdr:row>
      <xdr:rowOff>146538</xdr:rowOff>
    </xdr:to>
    <xdr:sp macro="" textlink="">
      <xdr:nvSpPr>
        <xdr:cNvPr id="7" name="Seta: para a Direita 6">
          <a:extLst>
            <a:ext uri="{FF2B5EF4-FFF2-40B4-BE49-F238E27FC236}">
              <a16:creationId xmlns:a16="http://schemas.microsoft.com/office/drawing/2014/main" id="{00000000-0008-0000-0000-000007000000}"/>
            </a:ext>
          </a:extLst>
        </xdr:cNvPr>
        <xdr:cNvSpPr/>
      </xdr:nvSpPr>
      <xdr:spPr>
        <a:xfrm>
          <a:off x="4205654" y="2945423"/>
          <a:ext cx="197827" cy="879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285750</xdr:colOff>
      <xdr:row>10</xdr:row>
      <xdr:rowOff>131884</xdr:rowOff>
    </xdr:from>
    <xdr:to>
      <xdr:col>2</xdr:col>
      <xdr:colOff>483577</xdr:colOff>
      <xdr:row>10</xdr:row>
      <xdr:rowOff>219807</xdr:rowOff>
    </xdr:to>
    <xdr:sp macro="" textlink="">
      <xdr:nvSpPr>
        <xdr:cNvPr id="8" name="Seta: para a Direita 7">
          <a:extLst>
            <a:ext uri="{FF2B5EF4-FFF2-40B4-BE49-F238E27FC236}">
              <a16:creationId xmlns:a16="http://schemas.microsoft.com/office/drawing/2014/main" id="{00000000-0008-0000-0000-000008000000}"/>
            </a:ext>
          </a:extLst>
        </xdr:cNvPr>
        <xdr:cNvSpPr/>
      </xdr:nvSpPr>
      <xdr:spPr>
        <a:xfrm>
          <a:off x="4769827" y="3165230"/>
          <a:ext cx="197827" cy="879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285750</xdr:colOff>
      <xdr:row>13</xdr:row>
      <xdr:rowOff>58615</xdr:rowOff>
    </xdr:from>
    <xdr:to>
      <xdr:col>2</xdr:col>
      <xdr:colOff>483577</xdr:colOff>
      <xdr:row>13</xdr:row>
      <xdr:rowOff>146538</xdr:rowOff>
    </xdr:to>
    <xdr:sp macro="" textlink="">
      <xdr:nvSpPr>
        <xdr:cNvPr id="11" name="Seta: para a Direita 10">
          <a:extLst>
            <a:ext uri="{FF2B5EF4-FFF2-40B4-BE49-F238E27FC236}">
              <a16:creationId xmlns:a16="http://schemas.microsoft.com/office/drawing/2014/main" id="{00000000-0008-0000-0000-00000B000000}"/>
            </a:ext>
          </a:extLst>
        </xdr:cNvPr>
        <xdr:cNvSpPr/>
      </xdr:nvSpPr>
      <xdr:spPr>
        <a:xfrm>
          <a:off x="4769827" y="2908788"/>
          <a:ext cx="197827" cy="879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285750</xdr:colOff>
      <xdr:row>11</xdr:row>
      <xdr:rowOff>58615</xdr:rowOff>
    </xdr:from>
    <xdr:to>
      <xdr:col>2</xdr:col>
      <xdr:colOff>483577</xdr:colOff>
      <xdr:row>11</xdr:row>
      <xdr:rowOff>146538</xdr:rowOff>
    </xdr:to>
    <xdr:sp macro="" textlink="">
      <xdr:nvSpPr>
        <xdr:cNvPr id="12" name="Seta: para a Direita 11">
          <a:extLst>
            <a:ext uri="{FF2B5EF4-FFF2-40B4-BE49-F238E27FC236}">
              <a16:creationId xmlns:a16="http://schemas.microsoft.com/office/drawing/2014/main" id="{00000000-0008-0000-0000-00000C000000}"/>
            </a:ext>
          </a:extLst>
        </xdr:cNvPr>
        <xdr:cNvSpPr/>
      </xdr:nvSpPr>
      <xdr:spPr>
        <a:xfrm>
          <a:off x="4769827" y="3091961"/>
          <a:ext cx="197827" cy="879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mc:AlternateContent xmlns:mc="http://schemas.openxmlformats.org/markup-compatibility/2006">
    <mc:Choice xmlns:a14="http://schemas.microsoft.com/office/drawing/2010/main" Requires="a14">
      <xdr:twoCellAnchor editAs="oneCell">
        <xdr:from>
          <xdr:col>0</xdr:col>
          <xdr:colOff>1390650</xdr:colOff>
          <xdr:row>0</xdr:row>
          <xdr:rowOff>76200</xdr:rowOff>
        </xdr:from>
        <xdr:to>
          <xdr:col>0</xdr:col>
          <xdr:colOff>2105025</xdr:colOff>
          <xdr:row>0</xdr:row>
          <xdr:rowOff>609600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952500</xdr:colOff>
          <xdr:row>0</xdr:row>
          <xdr:rowOff>76200</xdr:rowOff>
        </xdr:from>
        <xdr:to>
          <xdr:col>0</xdr:col>
          <xdr:colOff>1866900</xdr:colOff>
          <xdr:row>0</xdr:row>
          <xdr:rowOff>762000</xdr:rowOff>
        </xdr:to>
        <xdr:sp macro="" textlink="">
          <xdr:nvSpPr>
            <xdr:cNvPr id="28673" name="Object 1" hidden="1">
              <a:extLst>
                <a:ext uri="{63B3BB69-23CF-44E3-9099-C40C66FF867C}">
                  <a14:compatExt spid="_x0000_s28673"/>
                </a:ext>
                <a:ext uri="{FF2B5EF4-FFF2-40B4-BE49-F238E27FC236}">
                  <a16:creationId xmlns:a16="http://schemas.microsoft.com/office/drawing/2014/main" id="{00000000-0008-0000-0900-00000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1181100</xdr:colOff>
          <xdr:row>0</xdr:row>
          <xdr:rowOff>85725</xdr:rowOff>
        </xdr:from>
        <xdr:to>
          <xdr:col>1</xdr:col>
          <xdr:colOff>2095500</xdr:colOff>
          <xdr:row>0</xdr:row>
          <xdr:rowOff>771525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A00-0000017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838200</xdr:colOff>
          <xdr:row>0</xdr:row>
          <xdr:rowOff>47625</xdr:rowOff>
        </xdr:from>
        <xdr:to>
          <xdr:col>1</xdr:col>
          <xdr:colOff>1752600</xdr:colOff>
          <xdr:row>0</xdr:row>
          <xdr:rowOff>733425</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B00-0000017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1276350</xdr:colOff>
          <xdr:row>0</xdr:row>
          <xdr:rowOff>123825</xdr:rowOff>
        </xdr:from>
        <xdr:to>
          <xdr:col>3</xdr:col>
          <xdr:colOff>409575</xdr:colOff>
          <xdr:row>2</xdr:row>
          <xdr:rowOff>295275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C00-000001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1724025</xdr:colOff>
          <xdr:row>0</xdr:row>
          <xdr:rowOff>123825</xdr:rowOff>
        </xdr:from>
        <xdr:to>
          <xdr:col>0</xdr:col>
          <xdr:colOff>2638425</xdr:colOff>
          <xdr:row>0</xdr:row>
          <xdr:rowOff>809625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D00-0000017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1724025</xdr:colOff>
          <xdr:row>0</xdr:row>
          <xdr:rowOff>123825</xdr:rowOff>
        </xdr:from>
        <xdr:to>
          <xdr:col>0</xdr:col>
          <xdr:colOff>2647950</xdr:colOff>
          <xdr:row>0</xdr:row>
          <xdr:rowOff>819150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E00-000001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0</xdr:row>
          <xdr:rowOff>95250</xdr:rowOff>
        </xdr:from>
        <xdr:to>
          <xdr:col>1</xdr:col>
          <xdr:colOff>1228725</xdr:colOff>
          <xdr:row>0</xdr:row>
          <xdr:rowOff>781050</xdr:rowOff>
        </xdr:to>
        <xdr:sp macro="" textlink="">
          <xdr:nvSpPr>
            <xdr:cNvPr id="32769" name="Object 1" hidden="1">
              <a:extLst>
                <a:ext uri="{63B3BB69-23CF-44E3-9099-C40C66FF867C}">
                  <a14:compatExt spid="_x0000_s32769"/>
                </a:ext>
                <a:ext uri="{FF2B5EF4-FFF2-40B4-BE49-F238E27FC236}">
                  <a16:creationId xmlns:a16="http://schemas.microsoft.com/office/drawing/2014/main" id="{00000000-0008-0000-0F00-0000018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1181100</xdr:colOff>
          <xdr:row>0</xdr:row>
          <xdr:rowOff>114300</xdr:rowOff>
        </xdr:from>
        <xdr:to>
          <xdr:col>0</xdr:col>
          <xdr:colOff>2095500</xdr:colOff>
          <xdr:row>0</xdr:row>
          <xdr:rowOff>800100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257175</xdr:colOff>
          <xdr:row>0</xdr:row>
          <xdr:rowOff>66675</xdr:rowOff>
        </xdr:from>
        <xdr:to>
          <xdr:col>1</xdr:col>
          <xdr:colOff>142875</xdr:colOff>
          <xdr:row>0</xdr:row>
          <xdr:rowOff>600075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381000</xdr:colOff>
          <xdr:row>0</xdr:row>
          <xdr:rowOff>161925</xdr:rowOff>
        </xdr:from>
        <xdr:to>
          <xdr:col>1</xdr:col>
          <xdr:colOff>228600</xdr:colOff>
          <xdr:row>4</xdr:row>
          <xdr:rowOff>66675</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0</xdr:row>
          <xdr:rowOff>85725</xdr:rowOff>
        </xdr:from>
        <xdr:to>
          <xdr:col>2</xdr:col>
          <xdr:colOff>704850</xdr:colOff>
          <xdr:row>0</xdr:row>
          <xdr:rowOff>619125</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600075</xdr:colOff>
          <xdr:row>0</xdr:row>
          <xdr:rowOff>114300</xdr:rowOff>
        </xdr:from>
        <xdr:to>
          <xdr:col>2</xdr:col>
          <xdr:colOff>400050</xdr:colOff>
          <xdr:row>0</xdr:row>
          <xdr:rowOff>647700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1181100</xdr:colOff>
          <xdr:row>0</xdr:row>
          <xdr:rowOff>47625</xdr:rowOff>
        </xdr:from>
        <xdr:to>
          <xdr:col>3</xdr:col>
          <xdr:colOff>247650</xdr:colOff>
          <xdr:row>2</xdr:row>
          <xdr:rowOff>209550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628650</xdr:colOff>
          <xdr:row>0</xdr:row>
          <xdr:rowOff>57150</xdr:rowOff>
        </xdr:from>
        <xdr:to>
          <xdr:col>2</xdr:col>
          <xdr:colOff>1543050</xdr:colOff>
          <xdr:row>2</xdr:row>
          <xdr:rowOff>152400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700-0000015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561975</xdr:colOff>
          <xdr:row>0</xdr:row>
          <xdr:rowOff>76200</xdr:rowOff>
        </xdr:from>
        <xdr:to>
          <xdr:col>5</xdr:col>
          <xdr:colOff>104775</xdr:colOff>
          <xdr:row>0</xdr:row>
          <xdr:rowOff>762000</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0800-000001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RETARIA%20DE%20OBRAS/Flavio/OUTROS/COLETA%20DE%20LIXO/LICITA&#199;&#195;O%202026/Arquivos%20Oficiais/Arquivos%20Para%20Licita&#231;&#227;o/PO%20COLETA%20DE%20LIXO-%20PRESIDENTE%20OLEG&#193;RIO-MG%20-%20PREFEITU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 BÁSICAS"/>
      <sheetName val="ENCARGOS"/>
      <sheetName val="EPI"/>
      <sheetName val="BDI"/>
      <sheetName val="COLETA URBANA"/>
      <sheetName val="COLETA RURAL"/>
      <sheetName val="CAMINHÃO BASC. URBANO"/>
      <sheetName val="CAMINHÃO BASC. RURAL"/>
      <sheetName val="CRONOGRAMA DE COLETA"/>
      <sheetName val="M.O. COLETA"/>
      <sheetName val="RESUMO COLETA URB"/>
      <sheetName val="RESUMO COLETA RURAL"/>
      <sheetName val="VEÍCULO UTILITÁRIO - PICKUP"/>
      <sheetName val="M.O. ADM LOCAL"/>
      <sheetName val="ADM. LOCAL"/>
      <sheetName val="RESUMO GLOBAL"/>
      <sheetName val="CRONOGRAMA FÍSICO FINANCEIRO"/>
    </sheetNames>
    <sheetDataSet>
      <sheetData sheetId="0">
        <row r="6">
          <cell r="B6">
            <v>25.25</v>
          </cell>
        </row>
        <row r="10">
          <cell r="B10">
            <v>6.44</v>
          </cell>
        </row>
        <row r="11">
          <cell r="B11">
            <v>7.01</v>
          </cell>
        </row>
        <row r="14">
          <cell r="B14">
            <v>0.14649999999999999</v>
          </cell>
        </row>
      </sheetData>
      <sheetData sheetId="1"/>
      <sheetData sheetId="2"/>
      <sheetData sheetId="3"/>
      <sheetData sheetId="4">
        <row r="4">
          <cell r="C4">
            <v>4.3452000000000002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00.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image" Target="../media/image1.emf"/><Relationship Id="rId5" Type="http://schemas.openxmlformats.org/officeDocument/2006/relationships/oleObject" Target="../embeddings/oleObject10.bin"/><Relationship Id="rId4" Type="http://schemas.openxmlformats.org/officeDocument/2006/relationships/vmlDrawing" Target="../drawings/vmlDrawing16.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image" Target="../media/image1.emf"/><Relationship Id="rId5" Type="http://schemas.openxmlformats.org/officeDocument/2006/relationships/oleObject" Target="../embeddings/oleObject11.bin"/><Relationship Id="rId4" Type="http://schemas.openxmlformats.org/officeDocument/2006/relationships/vmlDrawing" Target="../drawings/vmlDrawing18.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image" Target="../media/image1.emf"/><Relationship Id="rId5" Type="http://schemas.openxmlformats.org/officeDocument/2006/relationships/oleObject" Target="../embeddings/oleObject12.bin"/><Relationship Id="rId4" Type="http://schemas.openxmlformats.org/officeDocument/2006/relationships/vmlDrawing" Target="../drawings/vmlDrawing2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oleObject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image" Target="../media/image1.emf"/><Relationship Id="rId5" Type="http://schemas.openxmlformats.org/officeDocument/2006/relationships/oleObject" Target="../embeddings/oleObject14.bin"/><Relationship Id="rId4" Type="http://schemas.openxmlformats.org/officeDocument/2006/relationships/vmlDrawing" Target="../drawings/vmlDrawing23.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image" Target="../media/image1.emf"/><Relationship Id="rId5" Type="http://schemas.openxmlformats.org/officeDocument/2006/relationships/oleObject" Target="../embeddings/oleObject15.bin"/><Relationship Id="rId4" Type="http://schemas.openxmlformats.org/officeDocument/2006/relationships/vmlDrawing" Target="../drawings/vmlDrawing25.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image" Target="../media/image1.emf"/><Relationship Id="rId5" Type="http://schemas.openxmlformats.org/officeDocument/2006/relationships/oleObject" Target="../embeddings/oleObject16.bin"/><Relationship Id="rId4" Type="http://schemas.openxmlformats.org/officeDocument/2006/relationships/vmlDrawing" Target="../drawings/vmlDrawing27.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image" Target="../media/image1.emf"/><Relationship Id="rId5" Type="http://schemas.openxmlformats.org/officeDocument/2006/relationships/oleObject" Target="../embeddings/oleObject2.bin"/><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image" Target="../media/image1.emf"/><Relationship Id="rId5" Type="http://schemas.openxmlformats.org/officeDocument/2006/relationships/oleObject" Target="../embeddings/oleObject3.bin"/><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image" Target="../media/image1.emf"/><Relationship Id="rId5" Type="http://schemas.openxmlformats.org/officeDocument/2006/relationships/oleObject" Target="../embeddings/oleObject5.bin"/><Relationship Id="rId4" Type="http://schemas.openxmlformats.org/officeDocument/2006/relationships/vmlDrawing" Target="../drawings/vmlDrawing9.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image" Target="../media/image1.emf"/><Relationship Id="rId5" Type="http://schemas.openxmlformats.org/officeDocument/2006/relationships/oleObject" Target="../embeddings/oleObject6.bin"/><Relationship Id="rId4" Type="http://schemas.openxmlformats.org/officeDocument/2006/relationships/vmlDrawing" Target="../drawings/vmlDrawing11.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oleObject" Target="../embeddings/oleObject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2CAA8-0774-493C-97CB-C366ED3B4975}">
  <sheetPr>
    <tabColor theme="7" tint="0.79998168889431442"/>
  </sheetPr>
  <dimension ref="A1:M48"/>
  <sheetViews>
    <sheetView view="pageBreakPreview" zoomScaleNormal="100" zoomScaleSheetLayoutView="100" workbookViewId="0">
      <selection activeCell="C10" sqref="C10"/>
    </sheetView>
  </sheetViews>
  <sheetFormatPr defaultColWidth="9.125" defaultRowHeight="12.75"/>
  <cols>
    <col min="1" max="1" width="49.125" style="1" bestFit="1" customWidth="1"/>
    <col min="2" max="2" width="9.75" style="2" bestFit="1" customWidth="1"/>
    <col min="3" max="3" width="9.625" style="1" bestFit="1" customWidth="1"/>
    <col min="4" max="4" width="32.375" style="1" customWidth="1"/>
    <col min="5" max="5" width="29.875" style="1" customWidth="1"/>
    <col min="6" max="11" width="9.125" style="1"/>
    <col min="12" max="12" width="14" style="1" bestFit="1" customWidth="1"/>
    <col min="13" max="16384" width="9.125" style="1"/>
  </cols>
  <sheetData>
    <row r="1" spans="1:12" ht="54.75" customHeight="1" thickBot="1">
      <c r="A1" s="750" t="s">
        <v>561</v>
      </c>
      <c r="B1" s="751"/>
      <c r="C1" s="751"/>
      <c r="D1" s="751"/>
      <c r="E1" s="751"/>
      <c r="F1"/>
      <c r="G1"/>
    </row>
    <row r="2" spans="1:12" ht="54" customHeight="1" thickBot="1">
      <c r="A2" s="752" t="s">
        <v>562</v>
      </c>
      <c r="B2" s="753"/>
      <c r="C2" s="753"/>
      <c r="D2" s="753"/>
      <c r="E2" s="754"/>
      <c r="F2"/>
      <c r="G2"/>
    </row>
    <row r="3" spans="1:12" ht="15.75" thickBot="1">
      <c r="A3" s="746" t="s">
        <v>112</v>
      </c>
      <c r="B3" s="747"/>
      <c r="C3" s="747"/>
      <c r="D3" s="747"/>
      <c r="E3" s="747"/>
      <c r="F3"/>
      <c r="G3"/>
    </row>
    <row r="4" spans="1:12" ht="15">
      <c r="A4" s="539"/>
      <c r="B4" s="540"/>
      <c r="C4" s="539"/>
      <c r="D4" s="539"/>
      <c r="E4" s="539"/>
    </row>
    <row r="5" spans="1:12" ht="15">
      <c r="A5" s="355" t="s">
        <v>114</v>
      </c>
      <c r="B5" s="356">
        <f>365-52-10</f>
        <v>303</v>
      </c>
      <c r="C5" s="355" t="s">
        <v>488</v>
      </c>
      <c r="D5" s="355"/>
      <c r="E5" s="355"/>
    </row>
    <row r="6" spans="1:12" ht="15">
      <c r="A6" s="355" t="s">
        <v>113</v>
      </c>
      <c r="B6" s="356">
        <f>B5/12</f>
        <v>25.25</v>
      </c>
      <c r="C6" s="355" t="s">
        <v>0</v>
      </c>
      <c r="D6" s="355"/>
      <c r="E6" s="355"/>
    </row>
    <row r="7" spans="1:12" ht="15">
      <c r="A7" s="355" t="s">
        <v>115</v>
      </c>
      <c r="B7" s="356">
        <f>365-52-52-10</f>
        <v>251</v>
      </c>
      <c r="C7" s="355" t="s">
        <v>488</v>
      </c>
      <c r="D7" s="355"/>
      <c r="E7" s="355"/>
    </row>
    <row r="8" spans="1:12" ht="15">
      <c r="A8" s="355" t="s">
        <v>486</v>
      </c>
      <c r="B8" s="356">
        <f>semanas_mês</f>
        <v>4.3452000000000002</v>
      </c>
      <c r="C8" s="355" t="s">
        <v>487</v>
      </c>
      <c r="D8" s="355"/>
      <c r="E8" s="355"/>
    </row>
    <row r="9" spans="1:12" ht="15">
      <c r="A9" s="355" t="s">
        <v>116</v>
      </c>
      <c r="B9" s="357">
        <f>B7/12</f>
        <v>20.916666666666668</v>
      </c>
      <c r="C9" s="355" t="s">
        <v>0</v>
      </c>
      <c r="D9" s="355"/>
      <c r="E9" s="355"/>
    </row>
    <row r="10" spans="1:12" ht="15">
      <c r="A10" s="355" t="s">
        <v>567</v>
      </c>
      <c r="B10" s="236">
        <v>0</v>
      </c>
      <c r="C10" s="541"/>
      <c r="D10" s="358" t="s">
        <v>142</v>
      </c>
      <c r="E10" s="355"/>
    </row>
    <row r="11" spans="1:12" ht="26.25" customHeight="1">
      <c r="A11" s="542" t="s">
        <v>566</v>
      </c>
      <c r="B11" s="236">
        <v>0</v>
      </c>
      <c r="C11" s="541"/>
      <c r="D11" s="749" t="s">
        <v>345</v>
      </c>
      <c r="E11" s="749"/>
    </row>
    <row r="12" spans="1:12" ht="15">
      <c r="A12" s="355" t="s">
        <v>384</v>
      </c>
      <c r="B12" s="359">
        <v>0.23</v>
      </c>
      <c r="C12" s="541"/>
      <c r="D12" s="748" t="s">
        <v>383</v>
      </c>
      <c r="E12" s="748"/>
    </row>
    <row r="13" spans="1:12" ht="15">
      <c r="A13" s="543" t="s">
        <v>93</v>
      </c>
      <c r="B13" s="360"/>
      <c r="C13" s="541"/>
      <c r="D13" s="748"/>
      <c r="E13" s="748"/>
    </row>
    <row r="14" spans="1:12" ht="18">
      <c r="A14" s="544" t="s">
        <v>94</v>
      </c>
      <c r="B14" s="237">
        <v>0</v>
      </c>
      <c r="C14" s="541"/>
      <c r="D14" s="358" t="s">
        <v>218</v>
      </c>
      <c r="E14" s="355"/>
      <c r="L14" s="3"/>
    </row>
    <row r="15" spans="1:12" ht="15">
      <c r="A15" s="361"/>
      <c r="B15" s="361"/>
      <c r="C15" s="361"/>
      <c r="D15" s="355"/>
      <c r="E15" s="355"/>
    </row>
    <row r="16" spans="1:12" ht="15">
      <c r="A16" s="745" t="s">
        <v>605</v>
      </c>
      <c r="B16" s="745"/>
      <c r="C16" s="745"/>
      <c r="D16" s="745"/>
      <c r="E16" s="745"/>
    </row>
    <row r="17" spans="1:11" ht="14.25">
      <c r="A17"/>
      <c r="B17"/>
      <c r="C17"/>
      <c r="D17" s="6"/>
      <c r="H17" s="7"/>
    </row>
    <row r="18" spans="1:11" ht="14.25">
      <c r="A18"/>
      <c r="B18"/>
      <c r="C18"/>
      <c r="H18" s="7"/>
      <c r="I18" s="7"/>
    </row>
    <row r="19" spans="1:11" ht="14.25">
      <c r="A19"/>
      <c r="B19"/>
      <c r="C19"/>
      <c r="H19" s="7"/>
      <c r="I19" s="7"/>
    </row>
    <row r="20" spans="1:11" ht="14.25">
      <c r="A20"/>
      <c r="B20"/>
      <c r="C20"/>
      <c r="D20" s="7"/>
      <c r="E20" s="7"/>
      <c r="F20" s="7"/>
      <c r="G20" s="7"/>
      <c r="H20" s="7"/>
      <c r="I20" s="7"/>
      <c r="K20" s="6"/>
    </row>
    <row r="21" spans="1:11" ht="14.25">
      <c r="A21"/>
      <c r="B21"/>
      <c r="C21"/>
      <c r="D21" s="50"/>
      <c r="E21" s="7"/>
      <c r="F21" s="7"/>
      <c r="G21" s="7"/>
      <c r="H21" s="7"/>
      <c r="I21" s="7"/>
      <c r="K21" s="6"/>
    </row>
    <row r="22" spans="1:11" ht="14.25">
      <c r="A22"/>
      <c r="B22"/>
      <c r="C22"/>
      <c r="H22" s="7"/>
      <c r="I22" s="7"/>
    </row>
    <row r="23" spans="1:11" ht="14.25">
      <c r="A23"/>
      <c r="B23"/>
      <c r="C23"/>
      <c r="H23" s="7"/>
      <c r="I23" s="7"/>
      <c r="J23" s="7"/>
      <c r="K23" s="6"/>
    </row>
    <row r="24" spans="1:11" ht="14.25">
      <c r="A24"/>
      <c r="B24"/>
      <c r="C24"/>
      <c r="H24" s="7"/>
      <c r="I24" s="7"/>
      <c r="J24" s="7"/>
      <c r="K24" s="6"/>
    </row>
    <row r="25" spans="1:11" ht="14.25">
      <c r="A25"/>
      <c r="B25"/>
      <c r="C25"/>
      <c r="H25" s="7"/>
      <c r="I25" s="7"/>
      <c r="J25" s="7"/>
      <c r="K25" s="6"/>
    </row>
    <row r="26" spans="1:11" ht="14.25">
      <c r="A26"/>
      <c r="B26"/>
      <c r="C26"/>
      <c r="H26" s="7"/>
      <c r="I26" s="7"/>
      <c r="J26" s="7"/>
      <c r="K26" s="6"/>
    </row>
    <row r="27" spans="1:11" ht="14.25">
      <c r="A27"/>
      <c r="B27"/>
      <c r="C27"/>
      <c r="H27" s="7"/>
      <c r="I27" s="7"/>
      <c r="J27" s="7"/>
      <c r="K27" s="6"/>
    </row>
    <row r="28" spans="1:11" ht="14.25">
      <c r="A28"/>
      <c r="B28"/>
      <c r="C28"/>
      <c r="H28" s="7"/>
      <c r="I28" s="7"/>
      <c r="J28" s="7"/>
      <c r="K28" s="6"/>
    </row>
    <row r="29" spans="1:11" ht="14.25">
      <c r="A29"/>
      <c r="B29"/>
      <c r="C29"/>
      <c r="H29" s="7"/>
      <c r="I29" s="7"/>
      <c r="J29" s="7"/>
      <c r="K29" s="6"/>
    </row>
    <row r="30" spans="1:11" ht="14.25">
      <c r="A30"/>
      <c r="B30"/>
      <c r="C30"/>
      <c r="D30" s="7"/>
      <c r="E30" s="7"/>
      <c r="F30" s="7"/>
      <c r="G30" s="7"/>
      <c r="H30" s="7"/>
      <c r="I30" s="7"/>
      <c r="K30" s="6"/>
    </row>
    <row r="31" spans="1:11" ht="14.25">
      <c r="A31"/>
      <c r="B31"/>
      <c r="C31"/>
      <c r="D31" s="7"/>
      <c r="E31" s="7"/>
      <c r="F31" s="7"/>
      <c r="G31" s="7"/>
      <c r="H31" s="7"/>
      <c r="I31" s="7"/>
    </row>
    <row r="32" spans="1:11" ht="14.25">
      <c r="A32"/>
      <c r="B32"/>
      <c r="C32"/>
      <c r="D32" s="7"/>
      <c r="E32" s="7"/>
      <c r="F32" s="7"/>
      <c r="G32" s="7"/>
      <c r="H32" s="7"/>
      <c r="I32" s="7"/>
    </row>
    <row r="33" spans="1:13" ht="14.25">
      <c r="A33"/>
      <c r="B33"/>
      <c r="C33"/>
      <c r="D33" s="7"/>
      <c r="E33" s="7"/>
      <c r="F33" s="7"/>
      <c r="G33" s="7"/>
      <c r="H33" s="7"/>
      <c r="I33" s="7"/>
    </row>
    <row r="34" spans="1:13" ht="14.25">
      <c r="A34"/>
      <c r="B34"/>
      <c r="C34"/>
      <c r="D34" s="7"/>
      <c r="F34" s="7"/>
      <c r="G34" s="7"/>
      <c r="H34" s="7"/>
      <c r="J34" s="8"/>
      <c r="K34" s="6"/>
      <c r="M34" s="9"/>
    </row>
    <row r="35" spans="1:13" ht="14.25">
      <c r="A35"/>
      <c r="B35"/>
      <c r="C35"/>
      <c r="D35" s="7"/>
      <c r="E35" s="7"/>
      <c r="F35" s="7"/>
      <c r="G35" s="7"/>
      <c r="K35" s="6"/>
    </row>
    <row r="36" spans="1:13" ht="14.25">
      <c r="A36"/>
      <c r="B36"/>
      <c r="C36"/>
      <c r="D36" s="7"/>
      <c r="E36" s="7"/>
      <c r="F36" s="7"/>
      <c r="G36" s="7"/>
    </row>
    <row r="37" spans="1:13" ht="14.25">
      <c r="A37"/>
      <c r="B37"/>
      <c r="C37"/>
      <c r="D37" s="7"/>
      <c r="E37" s="7"/>
      <c r="F37" s="7"/>
      <c r="G37" s="7"/>
    </row>
    <row r="38" spans="1:13" ht="14.25">
      <c r="A38"/>
      <c r="B38"/>
      <c r="C38"/>
      <c r="D38" s="7"/>
      <c r="E38" s="7"/>
      <c r="F38" s="7"/>
      <c r="G38" s="7"/>
    </row>
    <row r="39" spans="1:13" ht="14.25">
      <c r="A39"/>
      <c r="B39"/>
      <c r="C39"/>
      <c r="D39" s="7"/>
      <c r="E39" s="7"/>
      <c r="F39" s="7"/>
      <c r="G39" s="7"/>
    </row>
    <row r="40" spans="1:13" ht="14.25">
      <c r="A40"/>
      <c r="B40"/>
      <c r="C40"/>
      <c r="D40" s="7"/>
      <c r="E40" s="7"/>
      <c r="F40" s="7"/>
      <c r="G40" s="7"/>
    </row>
    <row r="41" spans="1:13" ht="14.25">
      <c r="A41"/>
      <c r="B41"/>
      <c r="C41"/>
      <c r="D41" s="7"/>
      <c r="E41" s="7"/>
      <c r="F41" s="7"/>
      <c r="G41" s="7"/>
    </row>
    <row r="42" spans="1:13" ht="14.25">
      <c r="A42"/>
      <c r="B42"/>
      <c r="C42"/>
    </row>
    <row r="43" spans="1:13" ht="14.25">
      <c r="A43"/>
      <c r="B43"/>
      <c r="C43"/>
    </row>
    <row r="44" spans="1:13" ht="14.25">
      <c r="A44"/>
      <c r="B44"/>
      <c r="C44"/>
    </row>
    <row r="45" spans="1:13" ht="14.25">
      <c r="A45"/>
      <c r="B45"/>
      <c r="C45"/>
    </row>
    <row r="46" spans="1:13" ht="14.25">
      <c r="A46"/>
      <c r="B46"/>
      <c r="C46"/>
    </row>
    <row r="47" spans="1:13" ht="14.25">
      <c r="A47"/>
      <c r="B47"/>
      <c r="C47"/>
    </row>
    <row r="48" spans="1:13" ht="14.25">
      <c r="A48"/>
      <c r="B48"/>
      <c r="C48"/>
    </row>
  </sheetData>
  <sheetProtection algorithmName="SHA-512" hashValue="cCEk/9y/nXD3bwMQ+8Rs1RHBnG1x2mjuSMLbjNvl42ZQ5URg7wzruKwqJpW7Y2F7zcxwUrM1oIuCXVU5CE2L1Q==" saltValue="08K+jsENZxHkRUXN+is03g==" spinCount="100000" sheet="1" objects="1" scenarios="1"/>
  <protectedRanges>
    <protectedRange sqref="A13:A17" name="Intervalo1"/>
  </protectedRanges>
  <mergeCells count="6">
    <mergeCell ref="A16:E16"/>
    <mergeCell ref="A3:E3"/>
    <mergeCell ref="D12:E13"/>
    <mergeCell ref="D11:E11"/>
    <mergeCell ref="A1:E1"/>
    <mergeCell ref="A2:E2"/>
  </mergeCells>
  <conditionalFormatting sqref="F1:XFD2 A13:C13 A11:D12 F11:XFD13 A14:XFD15 A3:XFD10 A17:XFD1048576 A16 F16:XFD16">
    <cfRule type="expression" dxfId="28" priority="3">
      <formula>CELL("proteger",A1)=1</formula>
    </cfRule>
  </conditionalFormatting>
  <conditionalFormatting sqref="A1">
    <cfRule type="expression" dxfId="27" priority="1">
      <formula>CELL("proteger",A1)=1</formula>
    </cfRule>
  </conditionalFormatting>
  <printOptions horizontalCentered="1"/>
  <pageMargins left="0.39370078740157483" right="0.39370078740157483" top="1.1811023622047245" bottom="0.78740157480314965" header="0.19685039370078741" footer="0.19685039370078741"/>
  <pageSetup paperSize="9" scale="67" fitToWidth="0" fitToHeight="2" orientation="portrait" r:id="rId1"/>
  <headerFooter scaleWithDoc="0">
    <oddHeader>&amp;L&amp;G&amp;RPagina&amp;P &amp;A</oddHeader>
  </headerFooter>
  <drawing r:id="rId2"/>
  <legacyDrawing r:id="rId3"/>
  <legacyDrawingHF r:id="rId4"/>
  <oleObjects>
    <mc:AlternateContent xmlns:mc="http://schemas.openxmlformats.org/markup-compatibility/2006">
      <mc:Choice Requires="x14">
        <oleObject progId="CorelDraw.Graphic.18" shapeId="1025" r:id="rId5">
          <objectPr defaultSize="0" autoPict="0" r:id="rId6">
            <anchor moveWithCells="1">
              <from>
                <xdr:col>0</xdr:col>
                <xdr:colOff>1390650</xdr:colOff>
                <xdr:row>0</xdr:row>
                <xdr:rowOff>76200</xdr:rowOff>
              </from>
              <to>
                <xdr:col>0</xdr:col>
                <xdr:colOff>2105025</xdr:colOff>
                <xdr:row>0</xdr:row>
                <xdr:rowOff>609600</xdr:rowOff>
              </to>
            </anchor>
          </objectPr>
        </oleObject>
      </mc:Choice>
      <mc:Fallback>
        <oleObject progId="CorelDraw.Graphic.18" shapeId="1025" r:id="rId5"/>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F30C-01DB-41CD-A65C-4E0364CD4CB4}">
  <sheetPr>
    <tabColor theme="0" tint="-0.14999847407452621"/>
    <pageSetUpPr fitToPage="1"/>
  </sheetPr>
  <dimension ref="A1:M139"/>
  <sheetViews>
    <sheetView view="pageBreakPreview" zoomScaleNormal="100" zoomScaleSheetLayoutView="100" workbookViewId="0">
      <selection activeCell="C9" sqref="C9"/>
    </sheetView>
  </sheetViews>
  <sheetFormatPr defaultColWidth="9.125" defaultRowHeight="13.5" customHeight="1"/>
  <cols>
    <col min="1" max="1" width="37.25" style="37" bestFit="1" customWidth="1"/>
    <col min="2" max="2" width="4.75" style="37" bestFit="1" customWidth="1"/>
    <col min="3" max="3" width="12.25" style="37" customWidth="1"/>
    <col min="4" max="4" width="4.125" style="37" customWidth="1"/>
    <col min="5" max="5" width="16.25" style="37" bestFit="1" customWidth="1"/>
    <col min="6" max="6" width="4.625" style="37" bestFit="1" customWidth="1"/>
    <col min="7" max="7" width="13.5" style="37" customWidth="1"/>
    <col min="8" max="10" width="9.125" style="5"/>
    <col min="11" max="11" width="12.125" style="5" bestFit="1" customWidth="1"/>
    <col min="12" max="12" width="14" style="5" bestFit="1" customWidth="1"/>
    <col min="13" max="16384" width="9.125" style="5"/>
  </cols>
  <sheetData>
    <row r="1" spans="1:12" ht="63" customHeight="1" thickBot="1">
      <c r="A1" s="1045" t="s">
        <v>20</v>
      </c>
      <c r="B1" s="1046"/>
      <c r="C1" s="1046"/>
      <c r="D1" s="1046"/>
      <c r="E1" s="1046"/>
      <c r="F1" s="1046"/>
      <c r="G1" s="1047"/>
    </row>
    <row r="2" spans="1:12" ht="5.25" customHeight="1">
      <c r="A2" s="656"/>
      <c r="B2" s="657"/>
      <c r="C2" s="656"/>
      <c r="D2" s="657"/>
      <c r="E2" s="656"/>
      <c r="F2" s="657"/>
      <c r="G2" s="70"/>
      <c r="H2" s="10"/>
      <c r="I2" s="11"/>
    </row>
    <row r="3" spans="1:12" ht="15.75">
      <c r="A3" s="1048" t="s">
        <v>242</v>
      </c>
      <c r="B3" s="1048"/>
      <c r="C3" s="1048"/>
      <c r="D3" s="1048"/>
      <c r="E3" s="1048"/>
      <c r="F3" s="1048"/>
      <c r="G3" s="1048"/>
    </row>
    <row r="4" spans="1:12" ht="12.6" customHeight="1">
      <c r="A4" s="658" t="s">
        <v>21</v>
      </c>
      <c r="B4" s="659"/>
      <c r="C4" s="290">
        <v>1</v>
      </c>
      <c r="D4" s="659" t="s">
        <v>22</v>
      </c>
      <c r="E4" s="240">
        <v>0</v>
      </c>
      <c r="F4" s="659" t="s">
        <v>23</v>
      </c>
      <c r="G4" s="72">
        <f t="shared" ref="G4:G9" si="0">ROUND(C4*E4,2)</f>
        <v>0</v>
      </c>
      <c r="H4" s="10"/>
    </row>
    <row r="5" spans="1:12" ht="12.6" customHeight="1">
      <c r="A5" s="658" t="s">
        <v>24</v>
      </c>
      <c r="B5" s="659"/>
      <c r="C5" s="241">
        <v>0</v>
      </c>
      <c r="D5" s="659" t="s">
        <v>22</v>
      </c>
      <c r="E5" s="240">
        <v>0</v>
      </c>
      <c r="F5" s="659" t="s">
        <v>23</v>
      </c>
      <c r="G5" s="72">
        <f t="shared" si="0"/>
        <v>0</v>
      </c>
      <c r="H5" s="12"/>
    </row>
    <row r="6" spans="1:12" ht="12.6" customHeight="1">
      <c r="A6" s="658" t="s">
        <v>25</v>
      </c>
      <c r="B6" s="659"/>
      <c r="C6" s="242">
        <v>0</v>
      </c>
      <c r="D6" s="659" t="s">
        <v>22</v>
      </c>
      <c r="E6" s="240">
        <f>ROUND((SUM(G4:G5)/220)*1.5,2)</f>
        <v>0</v>
      </c>
      <c r="F6" s="659" t="s">
        <v>23</v>
      </c>
      <c r="G6" s="72">
        <f t="shared" si="0"/>
        <v>0</v>
      </c>
      <c r="H6" s="11"/>
    </row>
    <row r="7" spans="1:12" ht="12.6" customHeight="1">
      <c r="A7" s="658" t="s">
        <v>26</v>
      </c>
      <c r="B7" s="659"/>
      <c r="C7" s="242">
        <v>0</v>
      </c>
      <c r="D7" s="659" t="s">
        <v>22</v>
      </c>
      <c r="E7" s="240">
        <f>ROUND((SUM(G4:G5)/220)*2,2)</f>
        <v>0</v>
      </c>
      <c r="F7" s="659" t="s">
        <v>23</v>
      </c>
      <c r="G7" s="72">
        <f t="shared" si="0"/>
        <v>0</v>
      </c>
      <c r="H7" s="12"/>
    </row>
    <row r="8" spans="1:12" ht="12.6" customHeight="1">
      <c r="A8" s="658" t="s">
        <v>27</v>
      </c>
      <c r="B8" s="659"/>
      <c r="C8" s="242">
        <v>0</v>
      </c>
      <c r="D8" s="659" t="s">
        <v>22</v>
      </c>
      <c r="E8" s="240">
        <f>(SUM(G4:G5)/220)*0.2</f>
        <v>0</v>
      </c>
      <c r="F8" s="659" t="s">
        <v>23</v>
      </c>
      <c r="G8" s="72">
        <f t="shared" si="0"/>
        <v>0</v>
      </c>
      <c r="H8" s="12"/>
      <c r="L8" s="3"/>
    </row>
    <row r="9" spans="1:12" ht="12.6" customHeight="1">
      <c r="A9" s="658" t="s">
        <v>28</v>
      </c>
      <c r="B9" s="659"/>
      <c r="C9" s="661">
        <f>'ENCARGOS '!encargos</f>
        <v>0</v>
      </c>
      <c r="D9" s="659" t="s">
        <v>22</v>
      </c>
      <c r="E9" s="240">
        <f>SUM(G4:G8)</f>
        <v>0</v>
      </c>
      <c r="F9" s="659" t="s">
        <v>23</v>
      </c>
      <c r="G9" s="72">
        <f t="shared" si="0"/>
        <v>0</v>
      </c>
      <c r="H9" s="12"/>
    </row>
    <row r="10" spans="1:12" ht="12.6" customHeight="1">
      <c r="A10" s="662" t="s">
        <v>29</v>
      </c>
      <c r="B10" s="659"/>
      <c r="C10" s="661"/>
      <c r="D10" s="659"/>
      <c r="E10" s="660"/>
      <c r="F10" s="659"/>
      <c r="G10" s="73">
        <f>SUM(G4:G9)</f>
        <v>0</v>
      </c>
      <c r="H10" s="12"/>
    </row>
    <row r="11" spans="1:12" ht="12.6" customHeight="1">
      <c r="A11" s="658" t="s">
        <v>30</v>
      </c>
      <c r="B11" s="659"/>
      <c r="C11" s="289">
        <v>0</v>
      </c>
      <c r="D11" s="659" t="s">
        <v>22</v>
      </c>
      <c r="E11" s="240">
        <v>0</v>
      </c>
      <c r="F11" s="659" t="s">
        <v>23</v>
      </c>
      <c r="G11" s="72">
        <f>ROUND(C11*E11,2)</f>
        <v>0</v>
      </c>
      <c r="H11" s="12"/>
    </row>
    <row r="12" spans="1:12" ht="12.6" customHeight="1">
      <c r="A12" s="663" t="s">
        <v>31</v>
      </c>
      <c r="B12" s="664"/>
      <c r="C12" s="290">
        <v>0</v>
      </c>
      <c r="D12" s="659" t="s">
        <v>22</v>
      </c>
      <c r="E12" s="240">
        <v>0</v>
      </c>
      <c r="F12" s="659" t="s">
        <v>23</v>
      </c>
      <c r="G12" s="72">
        <f>E12*C12</f>
        <v>0</v>
      </c>
      <c r="H12" s="13"/>
    </row>
    <row r="13" spans="1:12" ht="15.75">
      <c r="A13" s="658" t="s">
        <v>107</v>
      </c>
      <c r="B13" s="659"/>
      <c r="C13" s="665">
        <f>1/12</f>
        <v>8.3333333333333329E-2</v>
      </c>
      <c r="D13" s="659" t="s">
        <v>22</v>
      </c>
      <c r="E13" s="240">
        <v>0</v>
      </c>
      <c r="F13" s="659" t="s">
        <v>23</v>
      </c>
      <c r="G13" s="72">
        <f>ROUND(C13*E13,2)</f>
        <v>0</v>
      </c>
      <c r="H13" s="12"/>
    </row>
    <row r="14" spans="1:12" ht="12.6" customHeight="1">
      <c r="A14" s="663" t="s">
        <v>33</v>
      </c>
      <c r="B14" s="664"/>
      <c r="C14" s="665">
        <f>1/12</f>
        <v>8.3333333333333329E-2</v>
      </c>
      <c r="D14" s="659" t="s">
        <v>22</v>
      </c>
      <c r="E14" s="240">
        <v>0</v>
      </c>
      <c r="F14" s="659" t="s">
        <v>23</v>
      </c>
      <c r="G14" s="72">
        <f>ROUND(C14*E14,2)</f>
        <v>0</v>
      </c>
      <c r="H14" s="13"/>
    </row>
    <row r="15" spans="1:12" ht="12.6" customHeight="1">
      <c r="A15" s="658" t="s">
        <v>34</v>
      </c>
      <c r="B15" s="659"/>
      <c r="C15" s="243">
        <v>0</v>
      </c>
      <c r="D15" s="659" t="s">
        <v>22</v>
      </c>
      <c r="E15" s="240">
        <v>0</v>
      </c>
      <c r="F15" s="659" t="s">
        <v>23</v>
      </c>
      <c r="G15" s="72">
        <f t="shared" ref="G15:G18" si="1">ROUND(C15*E15,2)</f>
        <v>0</v>
      </c>
      <c r="H15" s="13"/>
    </row>
    <row r="16" spans="1:12" ht="12.6" customHeight="1">
      <c r="A16" s="658" t="s">
        <v>35</v>
      </c>
      <c r="B16" s="659"/>
      <c r="C16" s="243">
        <v>0</v>
      </c>
      <c r="D16" s="659" t="s">
        <v>22</v>
      </c>
      <c r="E16" s="240">
        <v>0</v>
      </c>
      <c r="F16" s="659" t="s">
        <v>23</v>
      </c>
      <c r="G16" s="72">
        <f t="shared" si="1"/>
        <v>0</v>
      </c>
      <c r="H16" s="12"/>
    </row>
    <row r="17" spans="1:8" ht="12.6" customHeight="1">
      <c r="A17" s="658" t="s">
        <v>36</v>
      </c>
      <c r="B17" s="659"/>
      <c r="C17" s="243">
        <v>0</v>
      </c>
      <c r="D17" s="659" t="s">
        <v>22</v>
      </c>
      <c r="E17" s="240">
        <v>0</v>
      </c>
      <c r="F17" s="659" t="s">
        <v>23</v>
      </c>
      <c r="G17" s="72">
        <f t="shared" si="1"/>
        <v>0</v>
      </c>
      <c r="H17" s="12"/>
    </row>
    <row r="18" spans="1:8" ht="12.6" customHeight="1">
      <c r="A18" s="658" t="s">
        <v>37</v>
      </c>
      <c r="B18" s="659"/>
      <c r="C18" s="243">
        <v>0</v>
      </c>
      <c r="D18" s="659" t="s">
        <v>22</v>
      </c>
      <c r="E18" s="240">
        <v>0</v>
      </c>
      <c r="F18" s="659" t="s">
        <v>23</v>
      </c>
      <c r="G18" s="72">
        <f t="shared" si="1"/>
        <v>0</v>
      </c>
      <c r="H18" s="12"/>
    </row>
    <row r="19" spans="1:8" ht="12.6" customHeight="1">
      <c r="A19" s="663" t="s">
        <v>38</v>
      </c>
      <c r="B19" s="664"/>
      <c r="C19" s="244">
        <v>0</v>
      </c>
      <c r="D19" s="659" t="s">
        <v>22</v>
      </c>
      <c r="E19" s="240">
        <v>0</v>
      </c>
      <c r="F19" s="659" t="s">
        <v>23</v>
      </c>
      <c r="G19" s="72">
        <f>IF(E4*0.06&lt;C19*E19,ROUND(C19*E19,2)-0.06*E4,0)</f>
        <v>0</v>
      </c>
      <c r="H19" s="11"/>
    </row>
    <row r="20" spans="1:8" ht="12.6" customHeight="1">
      <c r="A20" s="666" t="s">
        <v>39</v>
      </c>
      <c r="B20" s="667"/>
      <c r="C20" s="245">
        <v>0</v>
      </c>
      <c r="D20" s="667" t="s">
        <v>22</v>
      </c>
      <c r="E20" s="240">
        <f>EPI!G26</f>
        <v>0</v>
      </c>
      <c r="F20" s="667" t="s">
        <v>23</v>
      </c>
      <c r="G20" s="76">
        <f>ROUND(C20*E20,2)</f>
        <v>0</v>
      </c>
      <c r="H20" s="12"/>
    </row>
    <row r="21" spans="1:8" ht="12.6" customHeight="1">
      <c r="A21" s="668" t="s">
        <v>40</v>
      </c>
      <c r="B21" s="669"/>
      <c r="C21" s="670"/>
      <c r="D21" s="669"/>
      <c r="E21" s="670"/>
      <c r="F21" s="669"/>
      <c r="G21" s="79">
        <f>SUM(G10:G20)</f>
        <v>0</v>
      </c>
      <c r="H21" s="10"/>
    </row>
    <row r="22" spans="1:8" ht="6" customHeight="1">
      <c r="A22" s="671"/>
      <c r="B22" s="671"/>
      <c r="C22" s="671"/>
      <c r="D22" s="671"/>
      <c r="E22" s="671"/>
      <c r="F22" s="671"/>
      <c r="G22" s="671"/>
    </row>
    <row r="23" spans="1:8" ht="15.75">
      <c r="A23" s="1048" t="s">
        <v>241</v>
      </c>
      <c r="B23" s="1048"/>
      <c r="C23" s="1048"/>
      <c r="D23" s="1048"/>
      <c r="E23" s="1048"/>
      <c r="F23" s="1048"/>
      <c r="G23" s="1048"/>
    </row>
    <row r="24" spans="1:8" ht="12.6" customHeight="1">
      <c r="A24" s="658" t="s">
        <v>21</v>
      </c>
      <c r="B24" s="659"/>
      <c r="C24" s="290">
        <v>1</v>
      </c>
      <c r="D24" s="659" t="s">
        <v>22</v>
      </c>
      <c r="E24" s="240">
        <v>0</v>
      </c>
      <c r="F24" s="659" t="s">
        <v>23</v>
      </c>
      <c r="G24" s="247">
        <f t="shared" ref="G24:G29" si="2">ROUND(C24*E24,2)</f>
        <v>0</v>
      </c>
      <c r="H24" s="10"/>
    </row>
    <row r="25" spans="1:8" ht="12.6" customHeight="1">
      <c r="A25" s="658" t="s">
        <v>24</v>
      </c>
      <c r="B25" s="659"/>
      <c r="C25" s="241">
        <v>0</v>
      </c>
      <c r="D25" s="659" t="s">
        <v>22</v>
      </c>
      <c r="E25" s="240">
        <v>0</v>
      </c>
      <c r="F25" s="659" t="s">
        <v>23</v>
      </c>
      <c r="G25" s="247">
        <f t="shared" si="2"/>
        <v>0</v>
      </c>
      <c r="H25" s="12"/>
    </row>
    <row r="26" spans="1:8" ht="12.6" customHeight="1">
      <c r="A26" s="658" t="s">
        <v>25</v>
      </c>
      <c r="B26" s="659"/>
      <c r="C26" s="242">
        <v>0</v>
      </c>
      <c r="D26" s="659" t="s">
        <v>22</v>
      </c>
      <c r="E26" s="240">
        <f>ROUND((SUM(G4:G5)/220)*1.5,2)</f>
        <v>0</v>
      </c>
      <c r="F26" s="659" t="s">
        <v>23</v>
      </c>
      <c r="G26" s="247">
        <f t="shared" si="2"/>
        <v>0</v>
      </c>
      <c r="H26" s="11"/>
    </row>
    <row r="27" spans="1:8" ht="12.6" customHeight="1">
      <c r="A27" s="658" t="s">
        <v>26</v>
      </c>
      <c r="B27" s="659"/>
      <c r="C27" s="242">
        <v>0</v>
      </c>
      <c r="D27" s="659" t="s">
        <v>22</v>
      </c>
      <c r="E27" s="240">
        <v>0</v>
      </c>
      <c r="F27" s="659" t="s">
        <v>23</v>
      </c>
      <c r="G27" s="247">
        <f t="shared" si="2"/>
        <v>0</v>
      </c>
      <c r="H27" s="12"/>
    </row>
    <row r="28" spans="1:8" ht="12.6" customHeight="1">
      <c r="A28" s="658" t="s">
        <v>27</v>
      </c>
      <c r="B28" s="659"/>
      <c r="C28" s="248">
        <v>0</v>
      </c>
      <c r="D28" s="659" t="s">
        <v>22</v>
      </c>
      <c r="E28" s="240">
        <f>(SUM(G24:G25)/220)*0.2</f>
        <v>0</v>
      </c>
      <c r="F28" s="659" t="s">
        <v>23</v>
      </c>
      <c r="G28" s="247">
        <f t="shared" si="2"/>
        <v>0</v>
      </c>
      <c r="H28" s="12"/>
    </row>
    <row r="29" spans="1:8" ht="12.6" customHeight="1">
      <c r="A29" s="658" t="s">
        <v>28</v>
      </c>
      <c r="B29" s="659"/>
      <c r="C29" s="661">
        <f>'ENCARGOS '!encargos</f>
        <v>0</v>
      </c>
      <c r="D29" s="659" t="s">
        <v>22</v>
      </c>
      <c r="E29" s="240">
        <f>SUM(G24:G28)</f>
        <v>0</v>
      </c>
      <c r="F29" s="659" t="s">
        <v>23</v>
      </c>
      <c r="G29" s="247">
        <f t="shared" si="2"/>
        <v>0</v>
      </c>
      <c r="H29" s="12"/>
    </row>
    <row r="30" spans="1:8" ht="12.6" customHeight="1">
      <c r="A30" s="662" t="s">
        <v>29</v>
      </c>
      <c r="B30" s="659"/>
      <c r="C30" s="661"/>
      <c r="D30" s="659"/>
      <c r="E30" s="672"/>
      <c r="F30" s="659"/>
      <c r="G30" s="250">
        <f>SUM(G24:G29)</f>
        <v>0</v>
      </c>
      <c r="H30" s="12"/>
    </row>
    <row r="31" spans="1:8" ht="12.6" customHeight="1">
      <c r="A31" s="658" t="s">
        <v>30</v>
      </c>
      <c r="B31" s="659"/>
      <c r="C31" s="289">
        <v>0</v>
      </c>
      <c r="D31" s="659" t="s">
        <v>22</v>
      </c>
      <c r="E31" s="240">
        <v>0</v>
      </c>
      <c r="F31" s="659" t="s">
        <v>23</v>
      </c>
      <c r="G31" s="247">
        <f t="shared" ref="G31:G38" si="3">ROUND(C31*E31,2)</f>
        <v>0</v>
      </c>
      <c r="H31" s="12"/>
    </row>
    <row r="32" spans="1:8" ht="12.6" customHeight="1">
      <c r="A32" s="663" t="s">
        <v>31</v>
      </c>
      <c r="B32" s="664"/>
      <c r="C32" s="290">
        <v>0</v>
      </c>
      <c r="D32" s="659" t="s">
        <v>22</v>
      </c>
      <c r="E32" s="240">
        <v>0</v>
      </c>
      <c r="F32" s="659" t="s">
        <v>23</v>
      </c>
      <c r="G32" s="247">
        <f t="shared" si="3"/>
        <v>0</v>
      </c>
      <c r="H32" s="13"/>
    </row>
    <row r="33" spans="1:8" ht="12.6" customHeight="1">
      <c r="A33" s="658" t="s">
        <v>107</v>
      </c>
      <c r="B33" s="659"/>
      <c r="C33" s="665">
        <f>1/12</f>
        <v>8.3333333333333329E-2</v>
      </c>
      <c r="D33" s="659" t="s">
        <v>22</v>
      </c>
      <c r="E33" s="240">
        <v>0</v>
      </c>
      <c r="F33" s="659" t="s">
        <v>23</v>
      </c>
      <c r="G33" s="247">
        <f t="shared" si="3"/>
        <v>0</v>
      </c>
      <c r="H33" s="12"/>
    </row>
    <row r="34" spans="1:8" ht="12.6" customHeight="1">
      <c r="A34" s="663" t="s">
        <v>33</v>
      </c>
      <c r="B34" s="664"/>
      <c r="C34" s="665">
        <f>1/12</f>
        <v>8.3333333333333329E-2</v>
      </c>
      <c r="D34" s="659" t="s">
        <v>22</v>
      </c>
      <c r="E34" s="240">
        <v>0</v>
      </c>
      <c r="F34" s="659" t="s">
        <v>23</v>
      </c>
      <c r="G34" s="247">
        <f t="shared" si="3"/>
        <v>0</v>
      </c>
      <c r="H34" s="13"/>
    </row>
    <row r="35" spans="1:8" ht="12.6" customHeight="1">
      <c r="A35" s="658" t="s">
        <v>34</v>
      </c>
      <c r="B35" s="659"/>
      <c r="C35" s="243">
        <v>0</v>
      </c>
      <c r="D35" s="659" t="s">
        <v>22</v>
      </c>
      <c r="E35" s="240">
        <v>0</v>
      </c>
      <c r="F35" s="659" t="s">
        <v>23</v>
      </c>
      <c r="G35" s="247">
        <f t="shared" si="3"/>
        <v>0</v>
      </c>
      <c r="H35" s="13"/>
    </row>
    <row r="36" spans="1:8" ht="12.6" customHeight="1">
      <c r="A36" s="658" t="s">
        <v>35</v>
      </c>
      <c r="B36" s="659"/>
      <c r="C36" s="243">
        <v>0</v>
      </c>
      <c r="D36" s="659" t="s">
        <v>22</v>
      </c>
      <c r="E36" s="240">
        <v>0</v>
      </c>
      <c r="F36" s="659" t="s">
        <v>23</v>
      </c>
      <c r="G36" s="247">
        <f t="shared" si="3"/>
        <v>0</v>
      </c>
      <c r="H36" s="12"/>
    </row>
    <row r="37" spans="1:8" ht="12.6" customHeight="1">
      <c r="A37" s="658" t="s">
        <v>36</v>
      </c>
      <c r="B37" s="659"/>
      <c r="C37" s="243">
        <v>0</v>
      </c>
      <c r="D37" s="659" t="s">
        <v>22</v>
      </c>
      <c r="E37" s="240">
        <v>0</v>
      </c>
      <c r="F37" s="659" t="s">
        <v>23</v>
      </c>
      <c r="G37" s="247">
        <f>ROUND(C37*E37,2)</f>
        <v>0</v>
      </c>
      <c r="H37" s="12"/>
    </row>
    <row r="38" spans="1:8" ht="12.6" customHeight="1">
      <c r="A38" s="658" t="s">
        <v>37</v>
      </c>
      <c r="B38" s="659"/>
      <c r="C38" s="243">
        <v>0</v>
      </c>
      <c r="D38" s="659" t="s">
        <v>22</v>
      </c>
      <c r="E38" s="240">
        <v>0</v>
      </c>
      <c r="F38" s="659" t="s">
        <v>23</v>
      </c>
      <c r="G38" s="247">
        <f t="shared" si="3"/>
        <v>0</v>
      </c>
      <c r="H38" s="12"/>
    </row>
    <row r="39" spans="1:8" ht="12.6" customHeight="1">
      <c r="A39" s="663" t="s">
        <v>38</v>
      </c>
      <c r="B39" s="664"/>
      <c r="C39" s="244">
        <v>0</v>
      </c>
      <c r="D39" s="659" t="s">
        <v>22</v>
      </c>
      <c r="E39" s="240">
        <v>0</v>
      </c>
      <c r="F39" s="659" t="s">
        <v>23</v>
      </c>
      <c r="G39" s="247">
        <f>IF(E24*0.06&lt;C39*E39,ROUND(C39*E39,2)-0.06*E24,0)</f>
        <v>0</v>
      </c>
      <c r="H39" s="11"/>
    </row>
    <row r="40" spans="1:8" ht="12.6" customHeight="1">
      <c r="A40" s="666" t="s">
        <v>39</v>
      </c>
      <c r="B40" s="667"/>
      <c r="C40" s="245">
        <v>0</v>
      </c>
      <c r="D40" s="667" t="s">
        <v>22</v>
      </c>
      <c r="E40" s="240">
        <f>EPI!$G$27</f>
        <v>0</v>
      </c>
      <c r="F40" s="667" t="s">
        <v>23</v>
      </c>
      <c r="G40" s="251">
        <f>ROUND(C40*E40,2)</f>
        <v>0</v>
      </c>
      <c r="H40" s="12"/>
    </row>
    <row r="41" spans="1:8" ht="12.6" customHeight="1">
      <c r="A41" s="668" t="s">
        <v>40</v>
      </c>
      <c r="B41" s="669"/>
      <c r="C41" s="670"/>
      <c r="D41" s="669"/>
      <c r="E41" s="670"/>
      <c r="F41" s="669"/>
      <c r="G41" s="79">
        <f>SUM(G30:G40)</f>
        <v>0</v>
      </c>
      <c r="H41" s="10"/>
    </row>
    <row r="42" spans="1:8" ht="6" customHeight="1">
      <c r="A42" s="671"/>
      <c r="B42" s="671"/>
      <c r="C42" s="671"/>
      <c r="D42" s="671"/>
      <c r="E42" s="671"/>
      <c r="F42" s="671"/>
      <c r="G42" s="671"/>
    </row>
    <row r="43" spans="1:8" ht="12.6" customHeight="1">
      <c r="A43" s="1042" t="s">
        <v>243</v>
      </c>
      <c r="B43" s="1043"/>
      <c r="C43" s="1043"/>
      <c r="D43" s="1043"/>
      <c r="E43" s="1043"/>
      <c r="F43" s="1043"/>
      <c r="G43" s="1044"/>
    </row>
    <row r="44" spans="1:8" ht="12.6" customHeight="1">
      <c r="A44" s="673" t="s">
        <v>21</v>
      </c>
      <c r="B44" s="674"/>
      <c r="C44" s="290">
        <v>1</v>
      </c>
      <c r="D44" s="674" t="s">
        <v>22</v>
      </c>
      <c r="E44" s="252">
        <v>0</v>
      </c>
      <c r="F44" s="674" t="s">
        <v>23</v>
      </c>
      <c r="G44" s="253">
        <f t="shared" ref="G44:G49" si="4">ROUND(C44*E44,2)</f>
        <v>0</v>
      </c>
    </row>
    <row r="45" spans="1:8" ht="12.6" customHeight="1">
      <c r="A45" s="658" t="s">
        <v>24</v>
      </c>
      <c r="B45" s="659"/>
      <c r="C45" s="241">
        <v>0</v>
      </c>
      <c r="D45" s="659" t="s">
        <v>22</v>
      </c>
      <c r="E45" s="240">
        <v>0</v>
      </c>
      <c r="F45" s="659" t="s">
        <v>23</v>
      </c>
      <c r="G45" s="247">
        <f t="shared" si="4"/>
        <v>0</v>
      </c>
    </row>
    <row r="46" spans="1:8" ht="12.6" customHeight="1">
      <c r="A46" s="658" t="s">
        <v>25</v>
      </c>
      <c r="B46" s="659"/>
      <c r="C46" s="242">
        <v>0</v>
      </c>
      <c r="D46" s="659" t="s">
        <v>22</v>
      </c>
      <c r="E46" s="240">
        <v>0</v>
      </c>
      <c r="F46" s="659" t="s">
        <v>23</v>
      </c>
      <c r="G46" s="247">
        <f t="shared" si="4"/>
        <v>0</v>
      </c>
    </row>
    <row r="47" spans="1:8" ht="12.6" customHeight="1">
      <c r="A47" s="658" t="s">
        <v>26</v>
      </c>
      <c r="B47" s="659"/>
      <c r="C47" s="242">
        <v>0</v>
      </c>
      <c r="D47" s="659" t="s">
        <v>22</v>
      </c>
      <c r="E47" s="240">
        <f>ROUND((SUM(G44:G45)/220)*2,2)</f>
        <v>0</v>
      </c>
      <c r="F47" s="659" t="s">
        <v>23</v>
      </c>
      <c r="G47" s="247">
        <f t="shared" si="4"/>
        <v>0</v>
      </c>
    </row>
    <row r="48" spans="1:8" ht="12.6" customHeight="1">
      <c r="A48" s="658" t="s">
        <v>27</v>
      </c>
      <c r="B48" s="659"/>
      <c r="C48" s="242">
        <v>0</v>
      </c>
      <c r="D48" s="659" t="s">
        <v>22</v>
      </c>
      <c r="E48" s="240">
        <f>(SUM(G44:G45)/220)*0.2</f>
        <v>0</v>
      </c>
      <c r="F48" s="659" t="s">
        <v>23</v>
      </c>
      <c r="G48" s="247">
        <f t="shared" si="4"/>
        <v>0</v>
      </c>
    </row>
    <row r="49" spans="1:11" ht="12.6" customHeight="1">
      <c r="A49" s="658" t="s">
        <v>28</v>
      </c>
      <c r="B49" s="659"/>
      <c r="C49" s="661">
        <f>'ENCARGOS '!encargos</f>
        <v>0</v>
      </c>
      <c r="D49" s="659" t="s">
        <v>22</v>
      </c>
      <c r="E49" s="240">
        <f>SUM(G44:G48)</f>
        <v>0</v>
      </c>
      <c r="F49" s="659" t="s">
        <v>23</v>
      </c>
      <c r="G49" s="247">
        <f t="shared" si="4"/>
        <v>0</v>
      </c>
    </row>
    <row r="50" spans="1:11" ht="12.6" customHeight="1">
      <c r="A50" s="662" t="s">
        <v>29</v>
      </c>
      <c r="B50" s="659"/>
      <c r="C50" s="661"/>
      <c r="D50" s="659"/>
      <c r="E50" s="672"/>
      <c r="F50" s="659"/>
      <c r="G50" s="250">
        <f>SUM(G44:G49)</f>
        <v>0</v>
      </c>
    </row>
    <row r="51" spans="1:11" ht="12.6" customHeight="1">
      <c r="A51" s="658" t="s">
        <v>30</v>
      </c>
      <c r="B51" s="659"/>
      <c r="C51" s="289">
        <v>0</v>
      </c>
      <c r="D51" s="659" t="s">
        <v>22</v>
      </c>
      <c r="E51" s="240">
        <v>0</v>
      </c>
      <c r="F51" s="659" t="s">
        <v>23</v>
      </c>
      <c r="G51" s="247">
        <f t="shared" ref="G51:G58" si="5">ROUND(C51*E51,2)</f>
        <v>0</v>
      </c>
    </row>
    <row r="52" spans="1:11" ht="12.6" customHeight="1">
      <c r="A52" s="663" t="s">
        <v>31</v>
      </c>
      <c r="B52" s="664"/>
      <c r="C52" s="290">
        <v>0</v>
      </c>
      <c r="D52" s="659" t="s">
        <v>22</v>
      </c>
      <c r="E52" s="240">
        <v>0</v>
      </c>
      <c r="F52" s="659" t="s">
        <v>23</v>
      </c>
      <c r="G52" s="247">
        <f t="shared" si="5"/>
        <v>0</v>
      </c>
    </row>
    <row r="53" spans="1:11" ht="12.6" customHeight="1">
      <c r="A53" s="658" t="s">
        <v>107</v>
      </c>
      <c r="B53" s="659"/>
      <c r="C53" s="665">
        <f>1/12</f>
        <v>8.3333333333333329E-2</v>
      </c>
      <c r="D53" s="659" t="s">
        <v>22</v>
      </c>
      <c r="E53" s="240">
        <v>0</v>
      </c>
      <c r="F53" s="659" t="s">
        <v>23</v>
      </c>
      <c r="G53" s="247">
        <f t="shared" si="5"/>
        <v>0</v>
      </c>
    </row>
    <row r="54" spans="1:11" ht="12.6" customHeight="1">
      <c r="A54" s="663" t="s">
        <v>33</v>
      </c>
      <c r="B54" s="664"/>
      <c r="C54" s="665">
        <f>1/12</f>
        <v>8.3333333333333329E-2</v>
      </c>
      <c r="D54" s="659" t="s">
        <v>22</v>
      </c>
      <c r="E54" s="240">
        <v>0</v>
      </c>
      <c r="F54" s="659" t="s">
        <v>23</v>
      </c>
      <c r="G54" s="247">
        <f t="shared" si="5"/>
        <v>0</v>
      </c>
    </row>
    <row r="55" spans="1:11" ht="12.6" customHeight="1">
      <c r="A55" s="658" t="s">
        <v>34</v>
      </c>
      <c r="B55" s="659"/>
      <c r="C55" s="243">
        <v>0</v>
      </c>
      <c r="D55" s="659" t="s">
        <v>22</v>
      </c>
      <c r="E55" s="240">
        <v>0</v>
      </c>
      <c r="F55" s="659" t="s">
        <v>23</v>
      </c>
      <c r="G55" s="247">
        <f t="shared" si="5"/>
        <v>0</v>
      </c>
    </row>
    <row r="56" spans="1:11" ht="12.6" customHeight="1">
      <c r="A56" s="658" t="s">
        <v>35</v>
      </c>
      <c r="B56" s="659"/>
      <c r="C56" s="243">
        <v>0</v>
      </c>
      <c r="D56" s="659" t="s">
        <v>22</v>
      </c>
      <c r="E56" s="240">
        <v>0</v>
      </c>
      <c r="F56" s="659" t="s">
        <v>23</v>
      </c>
      <c r="G56" s="247">
        <f t="shared" si="5"/>
        <v>0</v>
      </c>
    </row>
    <row r="57" spans="1:11" ht="12.6" customHeight="1">
      <c r="A57" s="658" t="s">
        <v>37</v>
      </c>
      <c r="B57" s="659"/>
      <c r="C57" s="243">
        <v>0</v>
      </c>
      <c r="D57" s="659" t="s">
        <v>22</v>
      </c>
      <c r="E57" s="240">
        <v>0</v>
      </c>
      <c r="F57" s="659" t="s">
        <v>23</v>
      </c>
      <c r="G57" s="247">
        <f t="shared" si="5"/>
        <v>0</v>
      </c>
      <c r="H57" s="12"/>
    </row>
    <row r="58" spans="1:11" ht="12.6" customHeight="1">
      <c r="A58" s="663" t="s">
        <v>36</v>
      </c>
      <c r="B58" s="664"/>
      <c r="C58" s="243">
        <v>0</v>
      </c>
      <c r="D58" s="659" t="s">
        <v>22</v>
      </c>
      <c r="E58" s="240">
        <v>0</v>
      </c>
      <c r="F58" s="659"/>
      <c r="G58" s="247">
        <f t="shared" si="5"/>
        <v>0</v>
      </c>
    </row>
    <row r="59" spans="1:11" ht="12.6" customHeight="1">
      <c r="A59" s="658" t="s">
        <v>38</v>
      </c>
      <c r="B59" s="659"/>
      <c r="C59" s="244">
        <v>0</v>
      </c>
      <c r="D59" s="659" t="s">
        <v>22</v>
      </c>
      <c r="E59" s="660">
        <v>0</v>
      </c>
      <c r="F59" s="659" t="s">
        <v>23</v>
      </c>
      <c r="G59" s="247">
        <f>IF(E44*0.06&lt;C59*E59,ROUND(C59*E59,2)-0.06*E44,0)</f>
        <v>0</v>
      </c>
      <c r="K59" s="61"/>
    </row>
    <row r="60" spans="1:11" ht="12.6" customHeight="1">
      <c r="A60" s="666" t="s">
        <v>39</v>
      </c>
      <c r="B60" s="667"/>
      <c r="C60" s="245">
        <v>0</v>
      </c>
      <c r="D60" s="667" t="s">
        <v>22</v>
      </c>
      <c r="E60" s="660">
        <f>EPI!$G$13</f>
        <v>0</v>
      </c>
      <c r="F60" s="667" t="s">
        <v>23</v>
      </c>
      <c r="G60" s="251">
        <f>ROUND(C60*E60,2)</f>
        <v>0</v>
      </c>
    </row>
    <row r="61" spans="1:11" ht="12.6" customHeight="1">
      <c r="A61" s="675" t="s">
        <v>40</v>
      </c>
      <c r="B61" s="676"/>
      <c r="C61" s="677"/>
      <c r="D61" s="676"/>
      <c r="E61" s="677"/>
      <c r="F61" s="676"/>
      <c r="G61" s="84">
        <f>SUM(G50:G60)</f>
        <v>0</v>
      </c>
    </row>
    <row r="62" spans="1:11" ht="6.75" customHeight="1">
      <c r="A62" s="671"/>
      <c r="B62" s="671"/>
      <c r="C62" s="671"/>
      <c r="D62" s="671"/>
      <c r="E62" s="671"/>
      <c r="F62" s="671"/>
      <c r="G62" s="671"/>
    </row>
    <row r="63" spans="1:11" ht="15.75">
      <c r="A63" s="1042" t="s">
        <v>244</v>
      </c>
      <c r="B63" s="1043"/>
      <c r="C63" s="1043"/>
      <c r="D63" s="1043"/>
      <c r="E63" s="1043"/>
      <c r="F63" s="1043"/>
      <c r="G63" s="1044"/>
    </row>
    <row r="64" spans="1:11" ht="13.5" customHeight="1">
      <c r="A64" s="673" t="s">
        <v>21</v>
      </c>
      <c r="B64" s="674"/>
      <c r="C64" s="290">
        <v>1</v>
      </c>
      <c r="D64" s="674" t="s">
        <v>22</v>
      </c>
      <c r="E64" s="252">
        <v>0</v>
      </c>
      <c r="F64" s="674" t="s">
        <v>23</v>
      </c>
      <c r="G64" s="253">
        <f t="shared" ref="G64:G69" si="6">ROUND(C64*E64,2)</f>
        <v>0</v>
      </c>
    </row>
    <row r="65" spans="1:8" ht="13.5" customHeight="1">
      <c r="A65" s="658" t="s">
        <v>24</v>
      </c>
      <c r="B65" s="659"/>
      <c r="C65" s="241">
        <v>0</v>
      </c>
      <c r="D65" s="659" t="s">
        <v>22</v>
      </c>
      <c r="E65" s="240">
        <v>0</v>
      </c>
      <c r="F65" s="659" t="s">
        <v>23</v>
      </c>
      <c r="G65" s="247">
        <f t="shared" si="6"/>
        <v>0</v>
      </c>
    </row>
    <row r="66" spans="1:8" ht="13.5" customHeight="1">
      <c r="A66" s="658" t="s">
        <v>25</v>
      </c>
      <c r="B66" s="659"/>
      <c r="C66" s="242">
        <v>0</v>
      </c>
      <c r="D66" s="659" t="s">
        <v>22</v>
      </c>
      <c r="E66" s="240">
        <v>0</v>
      </c>
      <c r="F66" s="659" t="s">
        <v>23</v>
      </c>
      <c r="G66" s="247">
        <f t="shared" si="6"/>
        <v>0</v>
      </c>
    </row>
    <row r="67" spans="1:8" ht="13.5" customHeight="1">
      <c r="A67" s="658" t="s">
        <v>26</v>
      </c>
      <c r="B67" s="659"/>
      <c r="C67" s="242">
        <v>0</v>
      </c>
      <c r="D67" s="659" t="s">
        <v>22</v>
      </c>
      <c r="E67" s="240">
        <f>ROUND((SUM(G64:G65)/220)*2,2)</f>
        <v>0</v>
      </c>
      <c r="F67" s="659" t="s">
        <v>23</v>
      </c>
      <c r="G67" s="247">
        <f t="shared" si="6"/>
        <v>0</v>
      </c>
    </row>
    <row r="68" spans="1:8" ht="13.5" customHeight="1">
      <c r="A68" s="658" t="s">
        <v>27</v>
      </c>
      <c r="B68" s="659"/>
      <c r="C68" s="248">
        <f>dias_mes*3.3333</f>
        <v>84.165824999999998</v>
      </c>
      <c r="D68" s="659" t="s">
        <v>22</v>
      </c>
      <c r="E68" s="240">
        <f>(SUM(G64:G65)/220)*0.2</f>
        <v>0</v>
      </c>
      <c r="F68" s="659" t="s">
        <v>23</v>
      </c>
      <c r="G68" s="247">
        <f t="shared" si="6"/>
        <v>0</v>
      </c>
    </row>
    <row r="69" spans="1:8" ht="13.5" customHeight="1">
      <c r="A69" s="658" t="s">
        <v>28</v>
      </c>
      <c r="B69" s="659"/>
      <c r="C69" s="661">
        <f>'ENCARGOS '!encargos</f>
        <v>0</v>
      </c>
      <c r="D69" s="659" t="s">
        <v>22</v>
      </c>
      <c r="E69" s="240">
        <f>SUM(G64:G68)</f>
        <v>0</v>
      </c>
      <c r="F69" s="659" t="s">
        <v>23</v>
      </c>
      <c r="G69" s="247">
        <f t="shared" si="6"/>
        <v>0</v>
      </c>
    </row>
    <row r="70" spans="1:8" ht="13.5" customHeight="1">
      <c r="A70" s="662" t="s">
        <v>29</v>
      </c>
      <c r="B70" s="659"/>
      <c r="C70" s="661"/>
      <c r="D70" s="659"/>
      <c r="E70" s="672"/>
      <c r="F70" s="659"/>
      <c r="G70" s="250">
        <f>SUM(G64:G69)</f>
        <v>0</v>
      </c>
    </row>
    <row r="71" spans="1:8" ht="13.5" customHeight="1">
      <c r="A71" s="658" t="s">
        <v>30</v>
      </c>
      <c r="B71" s="659"/>
      <c r="C71" s="289">
        <f>dias_mes</f>
        <v>25.25</v>
      </c>
      <c r="D71" s="659" t="s">
        <v>22</v>
      </c>
      <c r="E71" s="240">
        <v>0</v>
      </c>
      <c r="F71" s="659" t="s">
        <v>23</v>
      </c>
      <c r="G71" s="247">
        <f t="shared" ref="G71:G78" si="7">ROUND(C71*E71,2)</f>
        <v>0</v>
      </c>
    </row>
    <row r="72" spans="1:8" ht="13.5" customHeight="1">
      <c r="A72" s="663" t="s">
        <v>31</v>
      </c>
      <c r="B72" s="664"/>
      <c r="C72" s="290">
        <v>1</v>
      </c>
      <c r="D72" s="659" t="s">
        <v>22</v>
      </c>
      <c r="E72" s="240">
        <v>0</v>
      </c>
      <c r="F72" s="659" t="s">
        <v>23</v>
      </c>
      <c r="G72" s="247">
        <f t="shared" si="7"/>
        <v>0</v>
      </c>
    </row>
    <row r="73" spans="1:8" ht="13.5" customHeight="1">
      <c r="A73" s="658" t="s">
        <v>32</v>
      </c>
      <c r="B73" s="659"/>
      <c r="C73" s="665">
        <f>1/12</f>
        <v>8.3333333333333329E-2</v>
      </c>
      <c r="D73" s="659" t="s">
        <v>22</v>
      </c>
      <c r="E73" s="240">
        <v>0</v>
      </c>
      <c r="F73" s="659" t="s">
        <v>23</v>
      </c>
      <c r="G73" s="247">
        <f t="shared" si="7"/>
        <v>0</v>
      </c>
    </row>
    <row r="74" spans="1:8" ht="13.5" customHeight="1">
      <c r="A74" s="663" t="s">
        <v>33</v>
      </c>
      <c r="B74" s="664"/>
      <c r="C74" s="665">
        <f>1/12</f>
        <v>8.3333333333333329E-2</v>
      </c>
      <c r="D74" s="659" t="s">
        <v>22</v>
      </c>
      <c r="E74" s="240">
        <v>0</v>
      </c>
      <c r="F74" s="659" t="s">
        <v>23</v>
      </c>
      <c r="G74" s="247">
        <f t="shared" si="7"/>
        <v>0</v>
      </c>
    </row>
    <row r="75" spans="1:8" ht="13.5" customHeight="1">
      <c r="A75" s="658" t="s">
        <v>34</v>
      </c>
      <c r="B75" s="659"/>
      <c r="C75" s="243">
        <v>0</v>
      </c>
      <c r="D75" s="659" t="s">
        <v>22</v>
      </c>
      <c r="E75" s="240">
        <v>0</v>
      </c>
      <c r="F75" s="659" t="s">
        <v>23</v>
      </c>
      <c r="G75" s="247">
        <f t="shared" si="7"/>
        <v>0</v>
      </c>
    </row>
    <row r="76" spans="1:8" ht="13.5" customHeight="1">
      <c r="A76" s="658" t="s">
        <v>35</v>
      </c>
      <c r="B76" s="659"/>
      <c r="C76" s="243">
        <v>0</v>
      </c>
      <c r="D76" s="659" t="s">
        <v>22</v>
      </c>
      <c r="E76" s="240">
        <v>0</v>
      </c>
      <c r="F76" s="659" t="s">
        <v>23</v>
      </c>
      <c r="G76" s="247">
        <f t="shared" si="7"/>
        <v>0</v>
      </c>
    </row>
    <row r="77" spans="1:8" ht="13.5" customHeight="1">
      <c r="A77" s="658" t="s">
        <v>37</v>
      </c>
      <c r="B77" s="659"/>
      <c r="C77" s="243">
        <v>0</v>
      </c>
      <c r="D77" s="659" t="s">
        <v>22</v>
      </c>
      <c r="E77" s="240">
        <v>0</v>
      </c>
      <c r="F77" s="659" t="s">
        <v>23</v>
      </c>
      <c r="G77" s="247">
        <f t="shared" si="7"/>
        <v>0</v>
      </c>
      <c r="H77" s="12"/>
    </row>
    <row r="78" spans="1:8" ht="13.5" customHeight="1">
      <c r="A78" s="663" t="s">
        <v>36</v>
      </c>
      <c r="B78" s="664"/>
      <c r="C78" s="243">
        <v>0</v>
      </c>
      <c r="D78" s="659" t="s">
        <v>22</v>
      </c>
      <c r="E78" s="240">
        <v>0</v>
      </c>
      <c r="F78" s="659"/>
      <c r="G78" s="247">
        <f t="shared" si="7"/>
        <v>0</v>
      </c>
    </row>
    <row r="79" spans="1:8" ht="13.5" customHeight="1">
      <c r="A79" s="658" t="s">
        <v>38</v>
      </c>
      <c r="B79" s="659"/>
      <c r="C79" s="244">
        <v>0</v>
      </c>
      <c r="D79" s="659" t="s">
        <v>22</v>
      </c>
      <c r="E79" s="240">
        <v>0</v>
      </c>
      <c r="F79" s="659" t="s">
        <v>23</v>
      </c>
      <c r="G79" s="247">
        <f>IF(E64*0.06&lt;C79*E79,ROUND(C79*E79,2)-0.06*E64,0)</f>
        <v>0</v>
      </c>
    </row>
    <row r="80" spans="1:8" ht="13.5" customHeight="1">
      <c r="A80" s="666" t="s">
        <v>39</v>
      </c>
      <c r="B80" s="667"/>
      <c r="C80" s="245">
        <v>0</v>
      </c>
      <c r="D80" s="667" t="s">
        <v>22</v>
      </c>
      <c r="E80" s="240">
        <f>EPI!$G$14</f>
        <v>0</v>
      </c>
      <c r="F80" s="667" t="s">
        <v>23</v>
      </c>
      <c r="G80" s="251">
        <f>ROUND(C80*E80,2)</f>
        <v>0</v>
      </c>
    </row>
    <row r="81" spans="1:7" ht="15.75">
      <c r="A81" s="675" t="s">
        <v>40</v>
      </c>
      <c r="B81" s="676"/>
      <c r="C81" s="677"/>
      <c r="D81" s="676"/>
      <c r="E81" s="677"/>
      <c r="F81" s="676"/>
      <c r="G81" s="84">
        <f>SUM(G70:G80)</f>
        <v>0</v>
      </c>
    </row>
    <row r="82" spans="1:7" ht="6.75" customHeight="1">
      <c r="A82" s="671"/>
      <c r="B82" s="671"/>
      <c r="C82" s="671"/>
      <c r="D82" s="671"/>
      <c r="E82" s="671"/>
      <c r="F82" s="671"/>
      <c r="G82" s="671"/>
    </row>
    <row r="83" spans="1:7" ht="17.25" customHeight="1">
      <c r="A83" s="1042" t="s">
        <v>245</v>
      </c>
      <c r="B83" s="1043"/>
      <c r="C83" s="1043"/>
      <c r="D83" s="1043"/>
      <c r="E83" s="1043"/>
      <c r="F83" s="1043"/>
      <c r="G83" s="1044"/>
    </row>
    <row r="84" spans="1:7" ht="13.5" customHeight="1">
      <c r="A84" s="673" t="s">
        <v>21</v>
      </c>
      <c r="B84" s="674"/>
      <c r="C84" s="290">
        <v>1</v>
      </c>
      <c r="D84" s="674" t="s">
        <v>22</v>
      </c>
      <c r="E84" s="252">
        <v>0</v>
      </c>
      <c r="F84" s="674" t="s">
        <v>23</v>
      </c>
      <c r="G84" s="253">
        <f t="shared" ref="G84:G90" si="8">ROUND(C84*E84,2)</f>
        <v>0</v>
      </c>
    </row>
    <row r="85" spans="1:7" ht="13.5" customHeight="1">
      <c r="A85" s="658" t="s">
        <v>41</v>
      </c>
      <c r="B85" s="659"/>
      <c r="C85" s="254">
        <v>0</v>
      </c>
      <c r="D85" s="659" t="s">
        <v>22</v>
      </c>
      <c r="E85" s="240">
        <v>0</v>
      </c>
      <c r="F85" s="659" t="s">
        <v>23</v>
      </c>
      <c r="G85" s="247">
        <f t="shared" si="8"/>
        <v>0</v>
      </c>
    </row>
    <row r="86" spans="1:7" ht="13.5" customHeight="1">
      <c r="A86" s="658" t="s">
        <v>24</v>
      </c>
      <c r="B86" s="659"/>
      <c r="C86" s="255">
        <v>0</v>
      </c>
      <c r="D86" s="659" t="s">
        <v>22</v>
      </c>
      <c r="E86" s="240">
        <v>0</v>
      </c>
      <c r="F86" s="659" t="s">
        <v>23</v>
      </c>
      <c r="G86" s="247">
        <f>ROUND(C86*E86,2)</f>
        <v>0</v>
      </c>
    </row>
    <row r="87" spans="1:7" ht="13.5" customHeight="1">
      <c r="A87" s="658" t="s">
        <v>25</v>
      </c>
      <c r="B87" s="659"/>
      <c r="C87" s="242">
        <v>0</v>
      </c>
      <c r="D87" s="659" t="s">
        <v>22</v>
      </c>
      <c r="E87" s="240">
        <f>ROUND((SUM(G84:G86)/220)*1.5,2)</f>
        <v>0</v>
      </c>
      <c r="F87" s="659" t="s">
        <v>23</v>
      </c>
      <c r="G87" s="247">
        <f t="shared" si="8"/>
        <v>0</v>
      </c>
    </row>
    <row r="88" spans="1:7" ht="13.5" customHeight="1">
      <c r="A88" s="658" t="s">
        <v>26</v>
      </c>
      <c r="B88" s="659"/>
      <c r="C88" s="242">
        <v>0</v>
      </c>
      <c r="D88" s="659" t="s">
        <v>22</v>
      </c>
      <c r="E88" s="240">
        <f>ROUND((SUM(G85:G86)/220)*2,2)</f>
        <v>0</v>
      </c>
      <c r="F88" s="659" t="s">
        <v>23</v>
      </c>
      <c r="G88" s="247">
        <f t="shared" si="8"/>
        <v>0</v>
      </c>
    </row>
    <row r="89" spans="1:7" ht="13.5" customHeight="1">
      <c r="A89" s="658" t="s">
        <v>27</v>
      </c>
      <c r="B89" s="659"/>
      <c r="C89" s="242">
        <v>0</v>
      </c>
      <c r="D89" s="659" t="s">
        <v>22</v>
      </c>
      <c r="E89" s="240">
        <f>(SUM(G85:G86)/220)*0.2</f>
        <v>0</v>
      </c>
      <c r="F89" s="659" t="s">
        <v>23</v>
      </c>
      <c r="G89" s="247">
        <f t="shared" si="8"/>
        <v>0</v>
      </c>
    </row>
    <row r="90" spans="1:7" ht="13.5" customHeight="1">
      <c r="A90" s="658" t="s">
        <v>28</v>
      </c>
      <c r="B90" s="659"/>
      <c r="C90" s="661">
        <f>'ENCARGOS '!encargos</f>
        <v>0</v>
      </c>
      <c r="D90" s="659" t="s">
        <v>22</v>
      </c>
      <c r="E90" s="240">
        <f>SUM(G84:G89)</f>
        <v>0</v>
      </c>
      <c r="F90" s="659" t="s">
        <v>23</v>
      </c>
      <c r="G90" s="247">
        <f t="shared" si="8"/>
        <v>0</v>
      </c>
    </row>
    <row r="91" spans="1:7" ht="13.5" customHeight="1">
      <c r="A91" s="662" t="s">
        <v>29</v>
      </c>
      <c r="B91" s="659"/>
      <c r="C91" s="661"/>
      <c r="D91" s="659"/>
      <c r="E91" s="672"/>
      <c r="F91" s="659"/>
      <c r="G91" s="250">
        <f>SUM(G84:G90)</f>
        <v>0</v>
      </c>
    </row>
    <row r="92" spans="1:7" ht="13.5" customHeight="1">
      <c r="A92" s="658" t="s">
        <v>30</v>
      </c>
      <c r="B92" s="659"/>
      <c r="C92" s="289">
        <f>dias_mes</f>
        <v>25.25</v>
      </c>
      <c r="D92" s="659" t="s">
        <v>22</v>
      </c>
      <c r="E92" s="240">
        <v>0</v>
      </c>
      <c r="F92" s="659" t="s">
        <v>23</v>
      </c>
      <c r="G92" s="247">
        <f t="shared" ref="G92:G99" si="9">ROUND(C92*E92,2)</f>
        <v>0</v>
      </c>
    </row>
    <row r="93" spans="1:7" ht="13.5" customHeight="1">
      <c r="A93" s="663" t="s">
        <v>31</v>
      </c>
      <c r="B93" s="664"/>
      <c r="C93" s="290">
        <v>1</v>
      </c>
      <c r="D93" s="659" t="s">
        <v>22</v>
      </c>
      <c r="E93" s="240">
        <v>0</v>
      </c>
      <c r="F93" s="659" t="s">
        <v>23</v>
      </c>
      <c r="G93" s="247">
        <f t="shared" si="9"/>
        <v>0</v>
      </c>
    </row>
    <row r="94" spans="1:7" ht="13.5" customHeight="1">
      <c r="A94" s="658" t="s">
        <v>32</v>
      </c>
      <c r="B94" s="659"/>
      <c r="C94" s="665">
        <f>1/12</f>
        <v>8.3333333333333329E-2</v>
      </c>
      <c r="D94" s="659" t="s">
        <v>22</v>
      </c>
      <c r="E94" s="240">
        <v>0</v>
      </c>
      <c r="F94" s="659" t="s">
        <v>23</v>
      </c>
      <c r="G94" s="247">
        <f t="shared" si="9"/>
        <v>0</v>
      </c>
    </row>
    <row r="95" spans="1:7" ht="13.5" customHeight="1">
      <c r="A95" s="663" t="s">
        <v>33</v>
      </c>
      <c r="B95" s="664"/>
      <c r="C95" s="665">
        <f>1/12</f>
        <v>8.3333333333333329E-2</v>
      </c>
      <c r="D95" s="659" t="s">
        <v>22</v>
      </c>
      <c r="E95" s="240">
        <v>0</v>
      </c>
      <c r="F95" s="659" t="s">
        <v>23</v>
      </c>
      <c r="G95" s="247">
        <f t="shared" si="9"/>
        <v>0</v>
      </c>
    </row>
    <row r="96" spans="1:7" ht="13.5" customHeight="1">
      <c r="A96" s="658" t="s">
        <v>34</v>
      </c>
      <c r="B96" s="659"/>
      <c r="C96" s="243">
        <v>0</v>
      </c>
      <c r="D96" s="659" t="s">
        <v>22</v>
      </c>
      <c r="E96" s="240">
        <v>0</v>
      </c>
      <c r="F96" s="659" t="s">
        <v>23</v>
      </c>
      <c r="G96" s="247">
        <f t="shared" si="9"/>
        <v>0</v>
      </c>
    </row>
    <row r="97" spans="1:8" ht="13.5" customHeight="1">
      <c r="A97" s="658" t="s">
        <v>35</v>
      </c>
      <c r="B97" s="659"/>
      <c r="C97" s="243">
        <v>0</v>
      </c>
      <c r="D97" s="659" t="s">
        <v>22</v>
      </c>
      <c r="E97" s="240">
        <v>0</v>
      </c>
      <c r="F97" s="659" t="s">
        <v>23</v>
      </c>
      <c r="G97" s="247">
        <f t="shared" si="9"/>
        <v>0</v>
      </c>
    </row>
    <row r="98" spans="1:8" ht="13.5" customHeight="1">
      <c r="A98" s="658" t="s">
        <v>37</v>
      </c>
      <c r="B98" s="659"/>
      <c r="C98" s="243">
        <v>0</v>
      </c>
      <c r="D98" s="659" t="s">
        <v>22</v>
      </c>
      <c r="E98" s="240">
        <v>0</v>
      </c>
      <c r="F98" s="659" t="s">
        <v>23</v>
      </c>
      <c r="G98" s="247">
        <f t="shared" si="9"/>
        <v>0</v>
      </c>
      <c r="H98" s="12"/>
    </row>
    <row r="99" spans="1:8" ht="13.5" customHeight="1">
      <c r="A99" s="663" t="s">
        <v>36</v>
      </c>
      <c r="B99" s="664"/>
      <c r="C99" s="243">
        <v>0</v>
      </c>
      <c r="D99" s="659" t="s">
        <v>22</v>
      </c>
      <c r="E99" s="240">
        <v>0</v>
      </c>
      <c r="F99" s="659"/>
      <c r="G99" s="247">
        <f t="shared" si="9"/>
        <v>0</v>
      </c>
    </row>
    <row r="100" spans="1:8" ht="13.5" customHeight="1">
      <c r="A100" s="658" t="s">
        <v>38</v>
      </c>
      <c r="B100" s="659"/>
      <c r="C100" s="244">
        <v>0</v>
      </c>
      <c r="D100" s="659" t="s">
        <v>22</v>
      </c>
      <c r="E100" s="240">
        <v>0</v>
      </c>
      <c r="F100" s="659" t="s">
        <v>23</v>
      </c>
      <c r="G100" s="247">
        <f>IF(E84*0.06&lt;C100*E100,ROUND(C100*E100,2)-0.06*E84,0)</f>
        <v>0</v>
      </c>
    </row>
    <row r="101" spans="1:8" ht="13.5" customHeight="1">
      <c r="A101" s="666" t="s">
        <v>39</v>
      </c>
      <c r="B101" s="667"/>
      <c r="C101" s="245">
        <v>0</v>
      </c>
      <c r="D101" s="667" t="s">
        <v>22</v>
      </c>
      <c r="E101" s="240">
        <v>0</v>
      </c>
      <c r="F101" s="667" t="s">
        <v>23</v>
      </c>
      <c r="G101" s="251">
        <f>ROUND(C101*E101,2)</f>
        <v>0</v>
      </c>
    </row>
    <row r="102" spans="1:8" ht="15.75">
      <c r="A102" s="675" t="s">
        <v>40</v>
      </c>
      <c r="B102" s="676"/>
      <c r="C102" s="677"/>
      <c r="D102" s="676"/>
      <c r="E102" s="677"/>
      <c r="F102" s="676"/>
      <c r="G102" s="84">
        <f>SUM(G91:G101)</f>
        <v>0</v>
      </c>
    </row>
    <row r="103" spans="1:8" ht="9.75" customHeight="1">
      <c r="A103" s="662"/>
      <c r="B103" s="657"/>
      <c r="C103" s="656"/>
      <c r="D103" s="657"/>
      <c r="E103" s="656"/>
      <c r="F103" s="657"/>
      <c r="G103" s="70"/>
    </row>
    <row r="104" spans="1:8" ht="21">
      <c r="A104" s="1049" t="s">
        <v>134</v>
      </c>
      <c r="B104" s="1050"/>
      <c r="C104" s="1050"/>
      <c r="D104" s="1050"/>
      <c r="E104" s="1050"/>
      <c r="F104" s="1050"/>
      <c r="G104" s="1051"/>
    </row>
    <row r="105" spans="1:8" ht="15">
      <c r="A105" s="678" t="s">
        <v>42</v>
      </c>
      <c r="B105" s="679" t="s">
        <v>43</v>
      </c>
      <c r="C105" s="1052" t="s">
        <v>44</v>
      </c>
      <c r="D105" s="1052"/>
      <c r="E105" s="679" t="s">
        <v>45</v>
      </c>
      <c r="F105" s="679"/>
      <c r="G105" s="680"/>
    </row>
    <row r="106" spans="1:8" ht="13.5" customHeight="1">
      <c r="A106" s="681" t="s">
        <v>47</v>
      </c>
      <c r="B106" s="682">
        <v>2</v>
      </c>
      <c r="C106" s="1054">
        <f>$G$81</f>
        <v>0</v>
      </c>
      <c r="D106" s="1054"/>
      <c r="E106" s="683">
        <f>B106*C106</f>
        <v>0</v>
      </c>
      <c r="F106" s="684"/>
      <c r="G106" s="685"/>
    </row>
    <row r="107" spans="1:8" ht="13.5" customHeight="1">
      <c r="A107" s="681" t="s">
        <v>49</v>
      </c>
      <c r="B107" s="682">
        <v>6</v>
      </c>
      <c r="C107" s="1054">
        <f>$G$41</f>
        <v>0</v>
      </c>
      <c r="D107" s="1054"/>
      <c r="E107" s="683">
        <f>B107*C107</f>
        <v>0</v>
      </c>
      <c r="F107" s="684"/>
      <c r="G107" s="685"/>
    </row>
    <row r="108" spans="1:8" ht="13.5" customHeight="1">
      <c r="A108" s="681" t="s">
        <v>356</v>
      </c>
      <c r="B108" s="682">
        <v>2</v>
      </c>
      <c r="C108" s="1054">
        <f>G30*2.5%</f>
        <v>0</v>
      </c>
      <c r="D108" s="1054"/>
      <c r="E108" s="683">
        <f>B108*C108</f>
        <v>0</v>
      </c>
      <c r="F108" s="684"/>
      <c r="G108" s="685"/>
    </row>
    <row r="109" spans="1:8" ht="13.5" customHeight="1">
      <c r="A109" s="681" t="s">
        <v>357</v>
      </c>
      <c r="B109" s="686">
        <v>1</v>
      </c>
      <c r="C109" s="1054">
        <f>G91*2.5%</f>
        <v>0</v>
      </c>
      <c r="D109" s="1054"/>
      <c r="E109" s="683">
        <f>B109*C109</f>
        <v>0</v>
      </c>
      <c r="F109" s="684"/>
      <c r="G109" s="685"/>
      <c r="H109" s="66"/>
    </row>
    <row r="110" spans="1:8" ht="21">
      <c r="A110" s="1055" t="s">
        <v>50</v>
      </c>
      <c r="B110" s="1056"/>
      <c r="C110" s="1056"/>
      <c r="D110" s="1056"/>
      <c r="E110" s="687">
        <f>SUM(E106:E109)</f>
        <v>0</v>
      </c>
      <c r="F110" s="87"/>
      <c r="G110" s="688"/>
    </row>
    <row r="111" spans="1:8" ht="21">
      <c r="A111" s="689"/>
      <c r="B111" s="690"/>
      <c r="C111" s="690"/>
      <c r="D111" s="690"/>
      <c r="E111" s="691"/>
      <c r="F111" s="88"/>
      <c r="G111" s="692"/>
    </row>
    <row r="112" spans="1:8" ht="21">
      <c r="A112" s="1049" t="s">
        <v>135</v>
      </c>
      <c r="B112" s="1050"/>
      <c r="C112" s="1050"/>
      <c r="D112" s="1050"/>
      <c r="E112" s="1050"/>
      <c r="F112" s="1050"/>
      <c r="G112" s="1051"/>
    </row>
    <row r="113" spans="1:13" ht="15">
      <c r="A113" s="678" t="s">
        <v>42</v>
      </c>
      <c r="B113" s="679" t="s">
        <v>43</v>
      </c>
      <c r="C113" s="1052" t="s">
        <v>44</v>
      </c>
      <c r="D113" s="1052"/>
      <c r="E113" s="679" t="s">
        <v>45</v>
      </c>
      <c r="F113" s="679"/>
      <c r="G113" s="680"/>
    </row>
    <row r="114" spans="1:13" ht="13.5" customHeight="1">
      <c r="A114" s="681" t="s">
        <v>46</v>
      </c>
      <c r="B114" s="682">
        <v>1</v>
      </c>
      <c r="C114" s="1053">
        <f>G61</f>
        <v>0</v>
      </c>
      <c r="D114" s="1053"/>
      <c r="E114" s="683">
        <f>B114*C114</f>
        <v>0</v>
      </c>
      <c r="F114" s="684"/>
      <c r="G114" s="685"/>
    </row>
    <row r="115" spans="1:13" ht="13.5" customHeight="1">
      <c r="A115" s="681" t="s">
        <v>48</v>
      </c>
      <c r="B115" s="682">
        <v>2</v>
      </c>
      <c r="C115" s="1054">
        <f>G21</f>
        <v>0</v>
      </c>
      <c r="D115" s="1054"/>
      <c r="E115" s="683">
        <f>B115*C115</f>
        <v>0</v>
      </c>
      <c r="F115" s="684"/>
      <c r="G115" s="685"/>
    </row>
    <row r="116" spans="1:13" ht="13.5" customHeight="1">
      <c r="A116" s="681" t="s">
        <v>358</v>
      </c>
      <c r="B116" s="682">
        <v>1</v>
      </c>
      <c r="C116" s="1054">
        <f>G10*2.5%</f>
        <v>0</v>
      </c>
      <c r="D116" s="1054"/>
      <c r="E116" s="683">
        <f>B116*C116</f>
        <v>0</v>
      </c>
      <c r="F116" s="684"/>
      <c r="G116" s="685"/>
    </row>
    <row r="117" spans="1:13" ht="13.5" customHeight="1">
      <c r="A117" s="681" t="s">
        <v>357</v>
      </c>
      <c r="B117" s="686">
        <v>1</v>
      </c>
      <c r="C117" s="1054">
        <f>G91*2.5%</f>
        <v>0</v>
      </c>
      <c r="D117" s="1054"/>
      <c r="E117" s="683">
        <f>B117*C117</f>
        <v>0</v>
      </c>
      <c r="F117" s="684"/>
      <c r="G117" s="685"/>
    </row>
    <row r="118" spans="1:13" ht="21">
      <c r="A118" s="1055" t="s">
        <v>50</v>
      </c>
      <c r="B118" s="1056"/>
      <c r="C118" s="1056"/>
      <c r="D118" s="1056"/>
      <c r="E118" s="687">
        <f>SUM(E114:E117)</f>
        <v>0</v>
      </c>
      <c r="F118" s="87"/>
      <c r="G118" s="688"/>
    </row>
    <row r="119" spans="1:13" ht="21.75" thickBot="1">
      <c r="A119" s="693"/>
      <c r="B119" s="693"/>
      <c r="C119" s="693"/>
      <c r="D119" s="693"/>
      <c r="E119" s="694"/>
      <c r="F119" s="89"/>
      <c r="G119" s="695"/>
    </row>
    <row r="120" spans="1:13" ht="33" customHeight="1">
      <c r="A120" s="1057" t="s">
        <v>359</v>
      </c>
      <c r="B120" s="1058"/>
      <c r="C120" s="1058"/>
      <c r="D120" s="1058"/>
      <c r="E120" s="1058"/>
      <c r="F120" s="1058"/>
      <c r="G120" s="1059"/>
    </row>
    <row r="121" spans="1:13" ht="33.75" customHeight="1">
      <c r="A121" s="1060"/>
      <c r="B121" s="1061"/>
      <c r="C121" s="1061"/>
      <c r="D121" s="1061"/>
      <c r="E121" s="1061"/>
      <c r="F121" s="1061"/>
      <c r="G121" s="1062"/>
    </row>
    <row r="122" spans="1:13" ht="35.25" customHeight="1" thickBot="1">
      <c r="A122" s="1063"/>
      <c r="B122" s="1064"/>
      <c r="C122" s="1064"/>
      <c r="D122" s="1064"/>
      <c r="E122" s="1064"/>
      <c r="F122" s="1064"/>
      <c r="G122" s="1065"/>
    </row>
    <row r="123" spans="1:13" ht="20.25">
      <c r="A123" s="1039"/>
      <c r="B123" s="1039"/>
      <c r="C123" s="1039"/>
      <c r="D123" s="1039"/>
      <c r="E123" s="1039"/>
      <c r="F123" s="1039"/>
      <c r="G123" s="1039"/>
    </row>
    <row r="124" spans="1:13" ht="13.5" customHeight="1">
      <c r="A124" s="52"/>
      <c r="B124" s="52"/>
      <c r="C124" s="1040"/>
      <c r="D124" s="1040"/>
      <c r="E124" s="52"/>
      <c r="F124" s="52"/>
      <c r="G124" s="53"/>
    </row>
    <row r="125" spans="1:13" ht="13.5" customHeight="1">
      <c r="A125" s="54"/>
      <c r="B125" s="55"/>
      <c r="C125" s="1041"/>
      <c r="D125" s="1041"/>
      <c r="E125" s="56"/>
      <c r="F125" s="57"/>
      <c r="G125" s="56"/>
      <c r="M125" s="67"/>
    </row>
    <row r="126" spans="1:13" ht="13.5" customHeight="1">
      <c r="A126" s="54"/>
      <c r="B126" s="55"/>
      <c r="C126" s="1041"/>
      <c r="D126" s="1041"/>
      <c r="E126" s="56"/>
      <c r="F126" s="57"/>
      <c r="G126" s="56"/>
    </row>
    <row r="127" spans="1:13" ht="13.5" customHeight="1">
      <c r="A127" s="54"/>
      <c r="B127" s="55"/>
      <c r="C127" s="1041"/>
      <c r="D127" s="1041"/>
      <c r="E127" s="56"/>
      <c r="F127" s="57"/>
      <c r="G127" s="56"/>
    </row>
    <row r="128" spans="1:13" ht="20.25">
      <c r="A128" s="1038"/>
      <c r="B128" s="1038"/>
      <c r="C128" s="1038"/>
      <c r="D128" s="1038"/>
      <c r="E128" s="58"/>
      <c r="F128" s="59"/>
      <c r="G128" s="60"/>
    </row>
    <row r="133" ht="14.25"/>
    <row r="139" ht="14.25"/>
  </sheetData>
  <sheetProtection algorithmName="SHA-512" hashValue="wkcJxVuZxkiWe/pL8VdGCGd4rHWqAr2RJhkLX/6rM52j08XMAkN4C4NbabKtnBOVK+bOQFS4ws3MH/h2g6qiPw==" saltValue="G5BnlL6Ey8Tn5T+N3zT0Gg==" spinCount="100000" sheet="1" objects="1" scenarios="1"/>
  <protectedRanges>
    <protectedRange sqref="C2:G2" name="Intervalo8"/>
    <protectedRange sqref="C103:G103" name="Intervalo11_5"/>
    <protectedRange sqref="E31:E34 E11:E14 E51:E54 E71:E74 E92:E95" name="Intervalo8_2_1"/>
    <protectedRange sqref="E40 E20" name="Intervalo11_1_1"/>
    <protectedRange sqref="C59 C79 C100 C19:C20 C11:D18 C73:C74 C94:C95 C39:C40 E37:E39 E35 C53:D54 C31:D38 C51 C71 C92 E17:E19 E15" name="Intervalo8_3_1"/>
    <protectedRange sqref="D9:G9 C10:G10 C21:G21 D19:D20 F11:G20 C41:G41 F5:G8 C46 C66 C87 F25:G40 C68 D29:E29 C24:G24 D39:D40 C25:D28 C30:E30 C50 C70 C91 C4:G4 C5:D8" name="Intervalo11_2_1"/>
    <protectedRange sqref="E45 E86 E25 E5 E65" name="Intervalo9_1_1"/>
    <protectedRange sqref="C9 C29 C49 C69 C90" name="Intervalo8_1_1_1"/>
    <protectedRange sqref="C60 D51 C101 C80 D71:D74 C72 D92:D95 C93 C52:D52 E36 C55:E58 C75:E78 C96:E99 E16" name="Intervalo8_6_1"/>
    <protectedRange sqref="C45:D45 D49:G50 C61:G61 D59 D60:G60 D87 F45:G45 F51:G59 C102:G102 F84:G86 F92:G100 D90:D91 C86:D86 C44:G44 D100 C81:G81 D79 C88:D89 F65:G65 F71:G79 C67:D67 C47:G48 E6:E8 D46:G46 D66 E66:G70 D68:D70 E87:G91 E26:E28 D80:G80 D101:G101 C84:E85 C65:D65 C64:G64" name="Intervalo11_5_1"/>
    <protectedRange sqref="E59 E79 E100" name="Intervalo8_1_4_1"/>
  </protectedRanges>
  <mergeCells count="27">
    <mergeCell ref="A120:G122"/>
    <mergeCell ref="C116:D116"/>
    <mergeCell ref="C108:D108"/>
    <mergeCell ref="C109:D109"/>
    <mergeCell ref="A118:D118"/>
    <mergeCell ref="C117:D117"/>
    <mergeCell ref="A104:G104"/>
    <mergeCell ref="C105:D105"/>
    <mergeCell ref="C114:D114"/>
    <mergeCell ref="C106:D106"/>
    <mergeCell ref="C115:D115"/>
    <mergeCell ref="C107:D107"/>
    <mergeCell ref="A112:G112"/>
    <mergeCell ref="C113:D113"/>
    <mergeCell ref="A110:D110"/>
    <mergeCell ref="A83:G83"/>
    <mergeCell ref="A1:G1"/>
    <mergeCell ref="A3:G3"/>
    <mergeCell ref="A23:G23"/>
    <mergeCell ref="A43:G43"/>
    <mergeCell ref="A63:G63"/>
    <mergeCell ref="A128:D128"/>
    <mergeCell ref="A123:G123"/>
    <mergeCell ref="C124:D124"/>
    <mergeCell ref="C125:D125"/>
    <mergeCell ref="C126:D126"/>
    <mergeCell ref="C127:D127"/>
  </mergeCells>
  <conditionalFormatting sqref="A123:XFD1048576 A120 H120:XFD122 A1:XFD119">
    <cfRule type="expression" dxfId="23" priority="1">
      <formula>CELL("proteger",A1)=1</formula>
    </cfRule>
  </conditionalFormatting>
  <printOptions horizontalCentered="1"/>
  <pageMargins left="0.39370078740157483" right="0.39370078740157483" top="1.1811023622047245" bottom="0.78740157480314965" header="0.19685039370078741" footer="0.19685039370078741"/>
  <pageSetup paperSize="9" scale="94" fitToHeight="0" orientation="portrait" r:id="rId1"/>
  <headerFooter scaleWithDoc="0">
    <oddHeader>&amp;L&amp;G&amp;RPagina&amp;P &amp;A</oddHeader>
  </headerFooter>
  <rowBreaks count="2" manualBreakCount="2">
    <brk id="61" max="6" man="1"/>
    <brk id="103" max="6" man="1"/>
  </rowBreaks>
  <drawing r:id="rId2"/>
  <legacyDrawing r:id="rId3"/>
  <legacyDrawingHF r:id="rId4"/>
  <oleObjects>
    <mc:AlternateContent xmlns:mc="http://schemas.openxmlformats.org/markup-compatibility/2006">
      <mc:Choice Requires="x14">
        <oleObject progId="CorelDraw.Graphic.18" shapeId="28673" r:id="rId5">
          <objectPr defaultSize="0" autoPict="0" r:id="rId6">
            <anchor moveWithCells="1">
              <from>
                <xdr:col>0</xdr:col>
                <xdr:colOff>952500</xdr:colOff>
                <xdr:row>0</xdr:row>
                <xdr:rowOff>76200</xdr:rowOff>
              </from>
              <to>
                <xdr:col>0</xdr:col>
                <xdr:colOff>1866900</xdr:colOff>
                <xdr:row>0</xdr:row>
                <xdr:rowOff>762000</xdr:rowOff>
              </to>
            </anchor>
          </objectPr>
        </oleObject>
      </mc:Choice>
      <mc:Fallback>
        <oleObject progId="CorelDraw.Graphic.18" shapeId="28673" r:id="rId5"/>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0235-D482-4030-AB1C-173FF594C14E}">
  <sheetPr>
    <tabColor theme="1" tint="0.249977111117893"/>
    <pageSetUpPr fitToPage="1"/>
  </sheetPr>
  <dimension ref="A1:I17"/>
  <sheetViews>
    <sheetView zoomScaleNormal="100" zoomScaleSheetLayoutView="100" workbookViewId="0">
      <selection activeCell="H5" sqref="H5"/>
    </sheetView>
  </sheetViews>
  <sheetFormatPr defaultColWidth="9.125" defaultRowHeight="14.25"/>
  <cols>
    <col min="1" max="1" width="5.375" style="5" customWidth="1"/>
    <col min="2" max="2" width="45.75" style="5" bestFit="1" customWidth="1"/>
    <col min="3" max="3" width="11.625" style="4" customWidth="1"/>
    <col min="4" max="4" width="12.625" style="5" bestFit="1" customWidth="1"/>
    <col min="5" max="5" width="16" style="5" customWidth="1"/>
    <col min="6" max="6" width="19.75" style="5" bestFit="1" customWidth="1"/>
    <col min="7" max="7" width="20.125" style="5" bestFit="1" customWidth="1"/>
    <col min="8" max="8" width="20.625" style="5" bestFit="1" customWidth="1"/>
    <col min="9" max="9" width="14.375" style="5" bestFit="1" customWidth="1"/>
    <col min="10" max="11" width="9.125" style="5"/>
    <col min="12" max="12" width="14" style="5" bestFit="1" customWidth="1"/>
    <col min="13" max="16384" width="9.125" style="5"/>
  </cols>
  <sheetData>
    <row r="1" spans="1:9" ht="66" customHeight="1" thickBot="1">
      <c r="A1" s="1067" t="s">
        <v>136</v>
      </c>
      <c r="B1" s="1068"/>
      <c r="C1" s="1068"/>
      <c r="D1" s="1068"/>
      <c r="E1" s="1068"/>
      <c r="F1" s="1068"/>
      <c r="G1" s="1068"/>
      <c r="H1" s="1069"/>
    </row>
    <row r="2" spans="1:9" ht="24" thickBot="1">
      <c r="A2" s="1070" t="s">
        <v>110</v>
      </c>
      <c r="B2" s="1071"/>
      <c r="C2" s="1071"/>
      <c r="D2" s="1071"/>
      <c r="E2" s="1071"/>
      <c r="F2" s="1071"/>
      <c r="G2" s="1071"/>
      <c r="H2" s="1072"/>
    </row>
    <row r="3" spans="1:9" ht="10.5" customHeight="1" thickBot="1">
      <c r="A3" s="1066"/>
      <c r="B3" s="1066"/>
      <c r="C3" s="1066"/>
      <c r="D3" s="1066"/>
      <c r="E3" s="1066"/>
      <c r="F3" s="1066"/>
      <c r="G3" s="1066"/>
      <c r="H3" s="91"/>
    </row>
    <row r="4" spans="1:9" ht="15.75" customHeight="1">
      <c r="A4" s="114" t="s">
        <v>51</v>
      </c>
      <c r="B4" s="217"/>
      <c r="C4" s="115"/>
      <c r="D4" s="115"/>
      <c r="E4" s="115"/>
      <c r="F4" s="218"/>
      <c r="G4" s="116" t="s">
        <v>52</v>
      </c>
      <c r="H4" s="744" t="s">
        <v>606</v>
      </c>
    </row>
    <row r="5" spans="1:9" ht="16.5" thickBot="1">
      <c r="A5" s="117" t="s">
        <v>127</v>
      </c>
      <c r="B5" s="117"/>
      <c r="C5" s="118"/>
      <c r="D5" s="118"/>
      <c r="E5" s="118"/>
      <c r="F5" s="118"/>
      <c r="G5" s="119" t="s">
        <v>53</v>
      </c>
      <c r="H5" s="740">
        <v>0</v>
      </c>
    </row>
    <row r="6" spans="1:9" ht="15.75" customHeight="1">
      <c r="A6" s="120"/>
      <c r="B6" s="120"/>
      <c r="C6" s="121"/>
      <c r="D6" s="121"/>
      <c r="E6" s="122"/>
      <c r="F6" s="155"/>
      <c r="G6" s="123"/>
      <c r="H6" s="91"/>
    </row>
    <row r="7" spans="1:9" ht="16.5" thickBot="1">
      <c r="A7" s="91"/>
      <c r="B7" s="156"/>
      <c r="C7" s="156"/>
      <c r="D7" s="156"/>
      <c r="E7" s="156"/>
      <c r="F7" s="156"/>
      <c r="G7" s="157"/>
      <c r="H7" s="91"/>
    </row>
    <row r="8" spans="1:9" s="15" customFormat="1" ht="32.25" thickBot="1">
      <c r="A8" s="158" t="s">
        <v>54</v>
      </c>
      <c r="B8" s="159" t="s">
        <v>55</v>
      </c>
      <c r="C8" s="159" t="s">
        <v>56</v>
      </c>
      <c r="D8" s="159" t="s">
        <v>57</v>
      </c>
      <c r="E8" s="160" t="s">
        <v>205</v>
      </c>
      <c r="F8" s="160" t="s">
        <v>513</v>
      </c>
      <c r="G8" s="161" t="s">
        <v>214</v>
      </c>
      <c r="H8" s="161" t="s">
        <v>215</v>
      </c>
      <c r="I8" s="14"/>
    </row>
    <row r="9" spans="1:9" ht="15.75">
      <c r="A9" s="162">
        <v>1</v>
      </c>
      <c r="B9" s="163" t="s">
        <v>58</v>
      </c>
      <c r="C9" s="164"/>
      <c r="D9" s="165"/>
      <c r="E9" s="166"/>
      <c r="F9" s="167"/>
      <c r="G9" s="168"/>
      <c r="H9" s="169"/>
      <c r="I9" s="14"/>
    </row>
    <row r="10" spans="1:9" ht="15.75">
      <c r="A10" s="125" t="s">
        <v>60</v>
      </c>
      <c r="B10" s="126" t="s">
        <v>508</v>
      </c>
      <c r="C10" s="127" t="s">
        <v>163</v>
      </c>
      <c r="D10" s="128">
        <f>'COLETA URBANA'!K10</f>
        <v>3136.36</v>
      </c>
      <c r="E10" s="129" t="e">
        <f>'CAMINHÃO BASC. URBANO'!E60</f>
        <v>#DIV/0!</v>
      </c>
      <c r="F10" s="170" t="e">
        <f>E10*(1+H5)</f>
        <v>#DIV/0!</v>
      </c>
      <c r="G10" s="170" t="e">
        <f>D10*F10</f>
        <v>#DIV/0!</v>
      </c>
      <c r="H10" s="131" t="e">
        <f>G10*12</f>
        <v>#DIV/0!</v>
      </c>
      <c r="I10" s="14"/>
    </row>
    <row r="11" spans="1:9" ht="16.5" thickBot="1">
      <c r="A11" s="171" t="s">
        <v>61</v>
      </c>
      <c r="B11" s="144" t="s">
        <v>509</v>
      </c>
      <c r="C11" s="145" t="s">
        <v>379</v>
      </c>
      <c r="D11" s="146">
        <v>1</v>
      </c>
      <c r="E11" s="172">
        <f>'M.O. COLETA'!E110</f>
        <v>0</v>
      </c>
      <c r="F11" s="173">
        <f>E11*(1+H5)</f>
        <v>0</v>
      </c>
      <c r="G11" s="148">
        <f>D11*F11</f>
        <v>0</v>
      </c>
      <c r="H11" s="174">
        <f>G11*12</f>
        <v>0</v>
      </c>
    </row>
    <row r="12" spans="1:9" ht="21.75" thickBot="1">
      <c r="A12" s="1073" t="s">
        <v>62</v>
      </c>
      <c r="B12" s="1074"/>
      <c r="C12" s="1074"/>
      <c r="D12" s="1074"/>
      <c r="E12" s="1074"/>
      <c r="F12" s="1075"/>
      <c r="G12" s="175" t="e">
        <f>SUM(G10:G11)</f>
        <v>#DIV/0!</v>
      </c>
      <c r="H12" s="151" t="e">
        <f>SUM(H10+H11)</f>
        <v>#DIV/0!</v>
      </c>
      <c r="I12" s="16"/>
    </row>
    <row r="13" spans="1:9" ht="15">
      <c r="A13" s="91"/>
      <c r="B13" s="91"/>
      <c r="C13" s="98"/>
      <c r="D13" s="91"/>
      <c r="E13" s="91"/>
      <c r="F13" s="91"/>
      <c r="G13" s="91"/>
      <c r="H13" s="91"/>
    </row>
    <row r="16" spans="1:9">
      <c r="G16" s="16"/>
      <c r="H16" s="16"/>
    </row>
    <row r="17" spans="8:8">
      <c r="H17" s="30"/>
    </row>
  </sheetData>
  <sheetProtection algorithmName="SHA-512" hashValue="ELyfabZQxXGBs7i3bzygb2ubc0UWs1MwLRbhZNfajz3c9otNL6RdGO+fKHcfUHo2O0youXlfXnW5i8x6kC2jcw==" saltValue="88nr2r/sQ8B6V/DaVSqTIw==" spinCount="100000" sheet="1" objects="1" scenarios="1"/>
  <protectedRanges>
    <protectedRange sqref="M6:O6 U6:W6 AC6:AE6 AK6:AM6 AS6:AU6 BA6:BC6 BI6:BK6 BQ6:BS6 BY6:CA6 CG6:CI6 CO6:CQ6 CW6:CY6 DE6:DG6 DM6:DO6 DU6:DW6 EC6:EE6 EK6:EM6 ES6:EU6 FA6:FC6 FI6:FK6 FQ6:FS6 FY6:GA6 GG6:GI6 GO6:GQ6 GW6:GY6 HE6:HG6 HM6:HO6 HU6:HW6 IC6:IE6 IK6:IM6 IS6:IU6 JA6:JC6 JI6:JK6 JQ6:JS6 JY6:KA6 KG6:KI6 KO6:KQ6 KW6:KY6 LE6:LG6 LM6:LO6 LU6:LW6 MC6:ME6 MK6:MM6 MS6:MU6 NA6:NC6 NI6:NK6 NQ6:NS6 NY6:OA6 OG6:OI6 OO6:OQ6 OW6:OY6 PE6:PG6 PM6:PO6 PU6:PW6 QC6:QE6 QK6:QM6 QS6:QU6 RA6:RC6 RI6:RK6 RQ6:RS6 RY6:SA6 SG6:SI6 SO6:SQ6 SW6:SY6 TE6:TG6 TM6:TO6 TU6:TW6 UC6:UE6 UK6:UM6 US6:UU6 VA6:VC6 VI6:VK6 VQ6:VS6 VY6:WA6 WG6:WI6 WO6:WQ6 WW6:WY6 XE6:XG6 XM6:XO6 XU6:XW6 YC6:YE6 YK6:YM6 YS6:YU6 ZA6:ZC6 ZI6:ZK6 ZQ6:ZS6 ZY6:AAA6 AAG6:AAI6 AAO6:AAQ6 AAW6:AAY6 ABE6:ABG6 ABM6:ABO6 ABU6:ABW6 ACC6:ACE6 ACK6:ACM6 ACS6:ACU6 ADA6:ADC6 ADI6:ADK6 ADQ6:ADS6 ADY6:AEA6 AEG6:AEI6 AEO6:AEQ6 AEW6:AEY6 AFE6:AFG6 AFM6:AFO6 AFU6:AFW6 AGC6:AGE6 AGK6:AGM6 AGS6:AGU6 AHA6:AHC6 AHI6:AHK6 AHQ6:AHS6 AHY6:AIA6 AIG6:AII6 AIO6:AIQ6 AIW6:AIY6 AJE6:AJG6 AJM6:AJO6 AJU6:AJW6 AKC6:AKE6 AKK6:AKM6 AKS6:AKU6 ALA6:ALC6 ALI6:ALK6 ALQ6:ALS6 ALY6:AMA6 AMG6:AMI6 AMO6:AMQ6 AMW6:AMY6 ANE6:ANG6 ANM6:ANO6 ANU6:ANW6 AOC6:AOE6 AOK6:AOM6 AOS6:AOU6 APA6:APC6 API6:APK6 APQ6:APS6 APY6:AQA6 AQG6:AQI6 AQO6:AQQ6 AQW6:AQY6 ARE6:ARG6 ARM6:ARO6 ARU6:ARW6 ASC6:ASE6 ASK6:ASM6 ASS6:ASU6 ATA6:ATC6 ATI6:ATK6 ATQ6:ATS6 ATY6:AUA6 AUG6:AUI6 AUO6:AUQ6 AUW6:AUY6 AVE6:AVG6 AVM6:AVO6 AVU6:AVW6 AWC6:AWE6 AWK6:AWM6 AWS6:AWU6 AXA6:AXC6 AXI6:AXK6 AXQ6:AXS6 AXY6:AYA6 AYG6:AYI6 AYO6:AYQ6 AYW6:AYY6 AZE6:AZG6 AZM6:AZO6 AZU6:AZW6 BAC6:BAE6 BAK6:BAM6 BAS6:BAU6 BBA6:BBC6 BBI6:BBK6 BBQ6:BBS6 BBY6:BCA6 BCG6:BCI6 BCO6:BCQ6 BCW6:BCY6 BDE6:BDG6 BDM6:BDO6 BDU6:BDW6 BEC6:BEE6 BEK6:BEM6 BES6:BEU6 BFA6:BFC6 BFI6:BFK6 BFQ6:BFS6 BFY6:BGA6 BGG6:BGI6 BGO6:BGQ6 BGW6:BGY6 BHE6:BHG6 BHM6:BHO6 BHU6:BHW6 BIC6:BIE6 BIK6:BIM6 BIS6:BIU6 BJA6:BJC6 BJI6:BJK6 BJQ6:BJS6 BJY6:BKA6 BKG6:BKI6 BKO6:BKQ6 BKW6:BKY6 BLE6:BLG6 BLM6:BLO6 BLU6:BLW6 BMC6:BME6 BMK6:BMM6 BMS6:BMU6 BNA6:BNC6 BNI6:BNK6 BNQ6:BNS6 BNY6:BOA6 BOG6:BOI6 BOO6:BOQ6 BOW6:BOY6 BPE6:BPG6 BPM6:BPO6 BPU6:BPW6 BQC6:BQE6 BQK6:BQM6 BQS6:BQU6 BRA6:BRC6 BRI6:BRK6 BRQ6:BRS6 BRY6:BSA6 BSG6:BSI6 BSO6:BSQ6 BSW6:BSY6 BTE6:BTG6 BTM6:BTO6 BTU6:BTW6 BUC6:BUE6 BUK6:BUM6 BUS6:BUU6 BVA6:BVC6 BVI6:BVK6 BVQ6:BVS6 BVY6:BWA6 BWG6:BWI6 BWO6:BWQ6 BWW6:BWY6 BXE6:BXG6 BXM6:BXO6 BXU6:BXW6 BYC6:BYE6 BYK6:BYM6 BYS6:BYU6 BZA6:BZC6 BZI6:BZK6 BZQ6:BZS6 BZY6:CAA6 CAG6:CAI6 CAO6:CAQ6 CAW6:CAY6 CBE6:CBG6 CBM6:CBO6 CBU6:CBW6 CCC6:CCE6 CCK6:CCM6 CCS6:CCU6 CDA6:CDC6 CDI6:CDK6 CDQ6:CDS6 CDY6:CEA6 CEG6:CEI6 CEO6:CEQ6 CEW6:CEY6 CFE6:CFG6 CFM6:CFO6 CFU6:CFW6 CGC6:CGE6 CGK6:CGM6 CGS6:CGU6 CHA6:CHC6 CHI6:CHK6 CHQ6:CHS6 CHY6:CIA6 CIG6:CII6 CIO6:CIQ6 CIW6:CIY6 CJE6:CJG6 CJM6:CJO6 CJU6:CJW6 CKC6:CKE6 CKK6:CKM6 CKS6:CKU6 CLA6:CLC6 CLI6:CLK6 CLQ6:CLS6 CLY6:CMA6 CMG6:CMI6 CMO6:CMQ6 CMW6:CMY6 CNE6:CNG6 CNM6:CNO6 CNU6:CNW6 COC6:COE6 COK6:COM6 COS6:COU6 CPA6:CPC6 CPI6:CPK6 CPQ6:CPS6 CPY6:CQA6 CQG6:CQI6 CQO6:CQQ6 CQW6:CQY6 CRE6:CRG6 CRM6:CRO6 CRU6:CRW6 CSC6:CSE6 CSK6:CSM6 CSS6:CSU6 CTA6:CTC6 CTI6:CTK6 CTQ6:CTS6 CTY6:CUA6 CUG6:CUI6 CUO6:CUQ6 CUW6:CUY6 CVE6:CVG6 CVM6:CVO6 CVU6:CVW6 CWC6:CWE6 CWK6:CWM6 CWS6:CWU6 CXA6:CXC6 CXI6:CXK6 CXQ6:CXS6 CXY6:CYA6 CYG6:CYI6 CYO6:CYQ6 CYW6:CYY6 CZE6:CZG6 CZM6:CZO6 CZU6:CZW6 DAC6:DAE6 DAK6:DAM6 DAS6:DAU6 DBA6:DBC6 DBI6:DBK6 DBQ6:DBS6 DBY6:DCA6 DCG6:DCI6 DCO6:DCQ6 DCW6:DCY6 DDE6:DDG6 DDM6:DDO6 DDU6:DDW6 DEC6:DEE6 DEK6:DEM6 DES6:DEU6 DFA6:DFC6 DFI6:DFK6 DFQ6:DFS6 DFY6:DGA6 DGG6:DGI6 DGO6:DGQ6 DGW6:DGY6 DHE6:DHG6 DHM6:DHO6 DHU6:DHW6 DIC6:DIE6 DIK6:DIM6 DIS6:DIU6 DJA6:DJC6 DJI6:DJK6 DJQ6:DJS6 DJY6:DKA6 DKG6:DKI6 DKO6:DKQ6 DKW6:DKY6 DLE6:DLG6 DLM6:DLO6 DLU6:DLW6 DMC6:DME6 DMK6:DMM6 DMS6:DMU6 DNA6:DNC6 DNI6:DNK6 DNQ6:DNS6 DNY6:DOA6 DOG6:DOI6 DOO6:DOQ6 DOW6:DOY6 DPE6:DPG6 DPM6:DPO6 DPU6:DPW6 DQC6:DQE6 DQK6:DQM6 DQS6:DQU6 DRA6:DRC6 DRI6:DRK6 DRQ6:DRS6 DRY6:DSA6 DSG6:DSI6 DSO6:DSQ6 DSW6:DSY6 DTE6:DTG6 DTM6:DTO6 DTU6:DTW6 DUC6:DUE6 DUK6:DUM6 DUS6:DUU6 DVA6:DVC6 DVI6:DVK6 DVQ6:DVS6 DVY6:DWA6 DWG6:DWI6 DWO6:DWQ6 DWW6:DWY6 DXE6:DXG6 DXM6:DXO6 DXU6:DXW6 DYC6:DYE6 DYK6:DYM6 DYS6:DYU6 DZA6:DZC6 DZI6:DZK6 DZQ6:DZS6 DZY6:EAA6 EAG6:EAI6 EAO6:EAQ6 EAW6:EAY6 EBE6:EBG6 EBM6:EBO6 EBU6:EBW6 ECC6:ECE6 ECK6:ECM6 ECS6:ECU6 EDA6:EDC6 EDI6:EDK6 EDQ6:EDS6 EDY6:EEA6 EEG6:EEI6 EEO6:EEQ6 EEW6:EEY6 EFE6:EFG6 EFM6:EFO6 EFU6:EFW6 EGC6:EGE6 EGK6:EGM6 EGS6:EGU6 EHA6:EHC6 EHI6:EHK6 EHQ6:EHS6 EHY6:EIA6 EIG6:EII6 EIO6:EIQ6 EIW6:EIY6 EJE6:EJG6 EJM6:EJO6 EJU6:EJW6 EKC6:EKE6 EKK6:EKM6 EKS6:EKU6 ELA6:ELC6 ELI6:ELK6 ELQ6:ELS6 ELY6:EMA6 EMG6:EMI6 EMO6:EMQ6 EMW6:EMY6 ENE6:ENG6 ENM6:ENO6 ENU6:ENW6 EOC6:EOE6 EOK6:EOM6 EOS6:EOU6 EPA6:EPC6 EPI6:EPK6 EPQ6:EPS6 EPY6:EQA6 EQG6:EQI6 EQO6:EQQ6 EQW6:EQY6 ERE6:ERG6 ERM6:ERO6 ERU6:ERW6 ESC6:ESE6 ESK6:ESM6 ESS6:ESU6 ETA6:ETC6 ETI6:ETK6 ETQ6:ETS6 ETY6:EUA6 EUG6:EUI6 EUO6:EUQ6 EUW6:EUY6 EVE6:EVG6 EVM6:EVO6 EVU6:EVW6 EWC6:EWE6 EWK6:EWM6 EWS6:EWU6 EXA6:EXC6 EXI6:EXK6 EXQ6:EXS6 EXY6:EYA6 EYG6:EYI6 EYO6:EYQ6 EYW6:EYY6 EZE6:EZG6 EZM6:EZO6 EZU6:EZW6 FAC6:FAE6 FAK6:FAM6 FAS6:FAU6 FBA6:FBC6 FBI6:FBK6 FBQ6:FBS6 FBY6:FCA6 FCG6:FCI6 FCO6:FCQ6 FCW6:FCY6 FDE6:FDG6 FDM6:FDO6 FDU6:FDW6 FEC6:FEE6 FEK6:FEM6 FES6:FEU6 FFA6:FFC6 FFI6:FFK6 FFQ6:FFS6 FFY6:FGA6 FGG6:FGI6 FGO6:FGQ6 FGW6:FGY6 FHE6:FHG6 FHM6:FHO6 FHU6:FHW6 FIC6:FIE6 FIK6:FIM6 FIS6:FIU6 FJA6:FJC6 FJI6:FJK6 FJQ6:FJS6 FJY6:FKA6 FKG6:FKI6 FKO6:FKQ6 FKW6:FKY6 FLE6:FLG6 FLM6:FLO6 FLU6:FLW6 FMC6:FME6 FMK6:FMM6 FMS6:FMU6 FNA6:FNC6 FNI6:FNK6 FNQ6:FNS6 FNY6:FOA6 FOG6:FOI6 FOO6:FOQ6 FOW6:FOY6 FPE6:FPG6 FPM6:FPO6 FPU6:FPW6 FQC6:FQE6 FQK6:FQM6 FQS6:FQU6 FRA6:FRC6 FRI6:FRK6 FRQ6:FRS6 FRY6:FSA6 FSG6:FSI6 FSO6:FSQ6 FSW6:FSY6 FTE6:FTG6 FTM6:FTO6 FTU6:FTW6 FUC6:FUE6 FUK6:FUM6 FUS6:FUU6 FVA6:FVC6 FVI6:FVK6 FVQ6:FVS6 FVY6:FWA6 FWG6:FWI6 FWO6:FWQ6 FWW6:FWY6 FXE6:FXG6 FXM6:FXO6 FXU6:FXW6 FYC6:FYE6 FYK6:FYM6 FYS6:FYU6 FZA6:FZC6 FZI6:FZK6 FZQ6:FZS6 FZY6:GAA6 GAG6:GAI6 GAO6:GAQ6 GAW6:GAY6 GBE6:GBG6 GBM6:GBO6 GBU6:GBW6 GCC6:GCE6 GCK6:GCM6 GCS6:GCU6 GDA6:GDC6 GDI6:GDK6 GDQ6:GDS6 GDY6:GEA6 GEG6:GEI6 GEO6:GEQ6 GEW6:GEY6 GFE6:GFG6 GFM6:GFO6 GFU6:GFW6 GGC6:GGE6 GGK6:GGM6 GGS6:GGU6 GHA6:GHC6 GHI6:GHK6 GHQ6:GHS6 GHY6:GIA6 GIG6:GII6 GIO6:GIQ6 GIW6:GIY6 GJE6:GJG6 GJM6:GJO6 GJU6:GJW6 GKC6:GKE6 GKK6:GKM6 GKS6:GKU6 GLA6:GLC6 GLI6:GLK6 GLQ6:GLS6 GLY6:GMA6 GMG6:GMI6 GMO6:GMQ6 GMW6:GMY6 GNE6:GNG6 GNM6:GNO6 GNU6:GNW6 GOC6:GOE6 GOK6:GOM6 GOS6:GOU6 GPA6:GPC6 GPI6:GPK6 GPQ6:GPS6 GPY6:GQA6 GQG6:GQI6 GQO6:GQQ6 GQW6:GQY6 GRE6:GRG6 GRM6:GRO6 GRU6:GRW6 GSC6:GSE6 GSK6:GSM6 GSS6:GSU6 GTA6:GTC6 GTI6:GTK6 GTQ6:GTS6 GTY6:GUA6 GUG6:GUI6 GUO6:GUQ6 GUW6:GUY6 GVE6:GVG6 GVM6:GVO6 GVU6:GVW6 GWC6:GWE6 GWK6:GWM6 GWS6:GWU6 GXA6:GXC6 GXI6:GXK6 GXQ6:GXS6 GXY6:GYA6 GYG6:GYI6 GYO6:GYQ6 GYW6:GYY6 GZE6:GZG6 GZM6:GZO6 GZU6:GZW6 HAC6:HAE6 HAK6:HAM6 HAS6:HAU6 HBA6:HBC6 HBI6:HBK6 HBQ6:HBS6 HBY6:HCA6 HCG6:HCI6 HCO6:HCQ6 HCW6:HCY6 HDE6:HDG6 HDM6:HDO6 HDU6:HDW6 HEC6:HEE6 HEK6:HEM6 HES6:HEU6 HFA6:HFC6 HFI6:HFK6 HFQ6:HFS6 HFY6:HGA6 HGG6:HGI6 HGO6:HGQ6 HGW6:HGY6 HHE6:HHG6 HHM6:HHO6 HHU6:HHW6 HIC6:HIE6 HIK6:HIM6 HIS6:HIU6 HJA6:HJC6 HJI6:HJK6 HJQ6:HJS6 HJY6:HKA6 HKG6:HKI6 HKO6:HKQ6 HKW6:HKY6 HLE6:HLG6 HLM6:HLO6 HLU6:HLW6 HMC6:HME6 HMK6:HMM6 HMS6:HMU6 HNA6:HNC6 HNI6:HNK6 HNQ6:HNS6 HNY6:HOA6 HOG6:HOI6 HOO6:HOQ6 HOW6:HOY6 HPE6:HPG6 HPM6:HPO6 HPU6:HPW6 HQC6:HQE6 HQK6:HQM6 HQS6:HQU6 HRA6:HRC6 HRI6:HRK6 HRQ6:HRS6 HRY6:HSA6 HSG6:HSI6 HSO6:HSQ6 HSW6:HSY6 HTE6:HTG6 HTM6:HTO6 HTU6:HTW6 HUC6:HUE6 HUK6:HUM6 HUS6:HUU6 HVA6:HVC6 HVI6:HVK6 HVQ6:HVS6 HVY6:HWA6 HWG6:HWI6 HWO6:HWQ6 HWW6:HWY6 HXE6:HXG6 HXM6:HXO6 HXU6:HXW6 HYC6:HYE6 HYK6:HYM6 HYS6:HYU6 HZA6:HZC6 HZI6:HZK6 HZQ6:HZS6 HZY6:IAA6 IAG6:IAI6 IAO6:IAQ6 IAW6:IAY6 IBE6:IBG6 IBM6:IBO6 IBU6:IBW6 ICC6:ICE6 ICK6:ICM6 ICS6:ICU6 IDA6:IDC6 IDI6:IDK6 IDQ6:IDS6 IDY6:IEA6 IEG6:IEI6 IEO6:IEQ6 IEW6:IEY6 IFE6:IFG6 IFM6:IFO6 IFU6:IFW6 IGC6:IGE6 IGK6:IGM6 IGS6:IGU6 IHA6:IHC6 IHI6:IHK6 IHQ6:IHS6 IHY6:IIA6 IIG6:III6 IIO6:IIQ6 IIW6:IIY6 IJE6:IJG6 IJM6:IJO6 IJU6:IJW6 IKC6:IKE6 IKK6:IKM6 IKS6:IKU6 ILA6:ILC6 ILI6:ILK6 ILQ6:ILS6 ILY6:IMA6 IMG6:IMI6 IMO6:IMQ6 IMW6:IMY6 INE6:ING6 INM6:INO6 INU6:INW6 IOC6:IOE6 IOK6:IOM6 IOS6:IOU6 IPA6:IPC6 IPI6:IPK6 IPQ6:IPS6 IPY6:IQA6 IQG6:IQI6 IQO6:IQQ6 IQW6:IQY6 IRE6:IRG6 IRM6:IRO6 IRU6:IRW6 ISC6:ISE6 ISK6:ISM6 ISS6:ISU6 ITA6:ITC6 ITI6:ITK6 ITQ6:ITS6 ITY6:IUA6 IUG6:IUI6 IUO6:IUQ6 IUW6:IUY6 IVE6:IVG6 IVM6:IVO6 IVU6:IVW6 IWC6:IWE6 IWK6:IWM6 IWS6:IWU6 IXA6:IXC6 IXI6:IXK6 IXQ6:IXS6 IXY6:IYA6 IYG6:IYI6 IYO6:IYQ6 IYW6:IYY6 IZE6:IZG6 IZM6:IZO6 IZU6:IZW6 JAC6:JAE6 JAK6:JAM6 JAS6:JAU6 JBA6:JBC6 JBI6:JBK6 JBQ6:JBS6 JBY6:JCA6 JCG6:JCI6 JCO6:JCQ6 JCW6:JCY6 JDE6:JDG6 JDM6:JDO6 JDU6:JDW6 JEC6:JEE6 JEK6:JEM6 JES6:JEU6 JFA6:JFC6 JFI6:JFK6 JFQ6:JFS6 JFY6:JGA6 JGG6:JGI6 JGO6:JGQ6 JGW6:JGY6 JHE6:JHG6 JHM6:JHO6 JHU6:JHW6 JIC6:JIE6 JIK6:JIM6 JIS6:JIU6 JJA6:JJC6 JJI6:JJK6 JJQ6:JJS6 JJY6:JKA6 JKG6:JKI6 JKO6:JKQ6 JKW6:JKY6 JLE6:JLG6 JLM6:JLO6 JLU6:JLW6 JMC6:JME6 JMK6:JMM6 JMS6:JMU6 JNA6:JNC6 JNI6:JNK6 JNQ6:JNS6 JNY6:JOA6 JOG6:JOI6 JOO6:JOQ6 JOW6:JOY6 JPE6:JPG6 JPM6:JPO6 JPU6:JPW6 JQC6:JQE6 JQK6:JQM6 JQS6:JQU6 JRA6:JRC6 JRI6:JRK6 JRQ6:JRS6 JRY6:JSA6 JSG6:JSI6 JSO6:JSQ6 JSW6:JSY6 JTE6:JTG6 JTM6:JTO6 JTU6:JTW6 JUC6:JUE6 JUK6:JUM6 JUS6:JUU6 JVA6:JVC6 JVI6:JVK6 JVQ6:JVS6 JVY6:JWA6 JWG6:JWI6 JWO6:JWQ6 JWW6:JWY6 JXE6:JXG6 JXM6:JXO6 JXU6:JXW6 JYC6:JYE6 JYK6:JYM6 JYS6:JYU6 JZA6:JZC6 JZI6:JZK6 JZQ6:JZS6 JZY6:KAA6 KAG6:KAI6 KAO6:KAQ6 KAW6:KAY6 KBE6:KBG6 KBM6:KBO6 KBU6:KBW6 KCC6:KCE6 KCK6:KCM6 KCS6:KCU6 KDA6:KDC6 KDI6:KDK6 KDQ6:KDS6 KDY6:KEA6 KEG6:KEI6 KEO6:KEQ6 KEW6:KEY6 KFE6:KFG6 KFM6:KFO6 KFU6:KFW6 KGC6:KGE6 KGK6:KGM6 KGS6:KGU6 KHA6:KHC6 KHI6:KHK6 KHQ6:KHS6 KHY6:KIA6 KIG6:KII6 KIO6:KIQ6 KIW6:KIY6 KJE6:KJG6 KJM6:KJO6 KJU6:KJW6 KKC6:KKE6 KKK6:KKM6 KKS6:KKU6 KLA6:KLC6 KLI6:KLK6 KLQ6:KLS6 KLY6:KMA6 KMG6:KMI6 KMO6:KMQ6 KMW6:KMY6 KNE6:KNG6 KNM6:KNO6 KNU6:KNW6 KOC6:KOE6 KOK6:KOM6 KOS6:KOU6 KPA6:KPC6 KPI6:KPK6 KPQ6:KPS6 KPY6:KQA6 KQG6:KQI6 KQO6:KQQ6 KQW6:KQY6 KRE6:KRG6 KRM6:KRO6 KRU6:KRW6 KSC6:KSE6 KSK6:KSM6 KSS6:KSU6 KTA6:KTC6 KTI6:KTK6 KTQ6:KTS6 KTY6:KUA6 KUG6:KUI6 KUO6:KUQ6 KUW6:KUY6 KVE6:KVG6 KVM6:KVO6 KVU6:KVW6 KWC6:KWE6 KWK6:KWM6 KWS6:KWU6 KXA6:KXC6 KXI6:KXK6 KXQ6:KXS6 KXY6:KYA6 KYG6:KYI6 KYO6:KYQ6 KYW6:KYY6 KZE6:KZG6 KZM6:KZO6 KZU6:KZW6 LAC6:LAE6 LAK6:LAM6 LAS6:LAU6 LBA6:LBC6 LBI6:LBK6 LBQ6:LBS6 LBY6:LCA6 LCG6:LCI6 LCO6:LCQ6 LCW6:LCY6 LDE6:LDG6 LDM6:LDO6 LDU6:LDW6 LEC6:LEE6 LEK6:LEM6 LES6:LEU6 LFA6:LFC6 LFI6:LFK6 LFQ6:LFS6 LFY6:LGA6 LGG6:LGI6 LGO6:LGQ6 LGW6:LGY6 LHE6:LHG6 LHM6:LHO6 LHU6:LHW6 LIC6:LIE6 LIK6:LIM6 LIS6:LIU6 LJA6:LJC6 LJI6:LJK6 LJQ6:LJS6 LJY6:LKA6 LKG6:LKI6 LKO6:LKQ6 LKW6:LKY6 LLE6:LLG6 LLM6:LLO6 LLU6:LLW6 LMC6:LME6 LMK6:LMM6 LMS6:LMU6 LNA6:LNC6 LNI6:LNK6 LNQ6:LNS6 LNY6:LOA6 LOG6:LOI6 LOO6:LOQ6 LOW6:LOY6 LPE6:LPG6 LPM6:LPO6 LPU6:LPW6 LQC6:LQE6 LQK6:LQM6 LQS6:LQU6 LRA6:LRC6 LRI6:LRK6 LRQ6:LRS6 LRY6:LSA6 LSG6:LSI6 LSO6:LSQ6 LSW6:LSY6 LTE6:LTG6 LTM6:LTO6 LTU6:LTW6 LUC6:LUE6 LUK6:LUM6 LUS6:LUU6 LVA6:LVC6 LVI6:LVK6 LVQ6:LVS6 LVY6:LWA6 LWG6:LWI6 LWO6:LWQ6 LWW6:LWY6 LXE6:LXG6 LXM6:LXO6 LXU6:LXW6 LYC6:LYE6 LYK6:LYM6 LYS6:LYU6 LZA6:LZC6 LZI6:LZK6 LZQ6:LZS6 LZY6:MAA6 MAG6:MAI6 MAO6:MAQ6 MAW6:MAY6 MBE6:MBG6 MBM6:MBO6 MBU6:MBW6 MCC6:MCE6 MCK6:MCM6 MCS6:MCU6 MDA6:MDC6 MDI6:MDK6 MDQ6:MDS6 MDY6:MEA6 MEG6:MEI6 MEO6:MEQ6 MEW6:MEY6 MFE6:MFG6 MFM6:MFO6 MFU6:MFW6 MGC6:MGE6 MGK6:MGM6 MGS6:MGU6 MHA6:MHC6 MHI6:MHK6 MHQ6:MHS6 MHY6:MIA6 MIG6:MII6 MIO6:MIQ6 MIW6:MIY6 MJE6:MJG6 MJM6:MJO6 MJU6:MJW6 MKC6:MKE6 MKK6:MKM6 MKS6:MKU6 MLA6:MLC6 MLI6:MLK6 MLQ6:MLS6 MLY6:MMA6 MMG6:MMI6 MMO6:MMQ6 MMW6:MMY6 MNE6:MNG6 MNM6:MNO6 MNU6:MNW6 MOC6:MOE6 MOK6:MOM6 MOS6:MOU6 MPA6:MPC6 MPI6:MPK6 MPQ6:MPS6 MPY6:MQA6 MQG6:MQI6 MQO6:MQQ6 MQW6:MQY6 MRE6:MRG6 MRM6:MRO6 MRU6:MRW6 MSC6:MSE6 MSK6:MSM6 MSS6:MSU6 MTA6:MTC6 MTI6:MTK6 MTQ6:MTS6 MTY6:MUA6 MUG6:MUI6 MUO6:MUQ6 MUW6:MUY6 MVE6:MVG6 MVM6:MVO6 MVU6:MVW6 MWC6:MWE6 MWK6:MWM6 MWS6:MWU6 MXA6:MXC6 MXI6:MXK6 MXQ6:MXS6 MXY6:MYA6 MYG6:MYI6 MYO6:MYQ6 MYW6:MYY6 MZE6:MZG6 MZM6:MZO6 MZU6:MZW6 NAC6:NAE6 NAK6:NAM6 NAS6:NAU6 NBA6:NBC6 NBI6:NBK6 NBQ6:NBS6 NBY6:NCA6 NCG6:NCI6 NCO6:NCQ6 NCW6:NCY6 NDE6:NDG6 NDM6:NDO6 NDU6:NDW6 NEC6:NEE6 NEK6:NEM6 NES6:NEU6 NFA6:NFC6 NFI6:NFK6 NFQ6:NFS6 NFY6:NGA6 NGG6:NGI6 NGO6:NGQ6 NGW6:NGY6 NHE6:NHG6 NHM6:NHO6 NHU6:NHW6 NIC6:NIE6 NIK6:NIM6 NIS6:NIU6 NJA6:NJC6 NJI6:NJK6 NJQ6:NJS6 NJY6:NKA6 NKG6:NKI6 NKO6:NKQ6 NKW6:NKY6 NLE6:NLG6 NLM6:NLO6 NLU6:NLW6 NMC6:NME6 NMK6:NMM6 NMS6:NMU6 NNA6:NNC6 NNI6:NNK6 NNQ6:NNS6 NNY6:NOA6 NOG6:NOI6 NOO6:NOQ6 NOW6:NOY6 NPE6:NPG6 NPM6:NPO6 NPU6:NPW6 NQC6:NQE6 NQK6:NQM6 NQS6:NQU6 NRA6:NRC6 NRI6:NRK6 NRQ6:NRS6 NRY6:NSA6 NSG6:NSI6 NSO6:NSQ6 NSW6:NSY6 NTE6:NTG6 NTM6:NTO6 NTU6:NTW6 NUC6:NUE6 NUK6:NUM6 NUS6:NUU6 NVA6:NVC6 NVI6:NVK6 NVQ6:NVS6 NVY6:NWA6 NWG6:NWI6 NWO6:NWQ6 NWW6:NWY6 NXE6:NXG6 NXM6:NXO6 NXU6:NXW6 NYC6:NYE6 NYK6:NYM6 NYS6:NYU6 NZA6:NZC6 NZI6:NZK6 NZQ6:NZS6 NZY6:OAA6 OAG6:OAI6 OAO6:OAQ6 OAW6:OAY6 OBE6:OBG6 OBM6:OBO6 OBU6:OBW6 OCC6:OCE6 OCK6:OCM6 OCS6:OCU6 ODA6:ODC6 ODI6:ODK6 ODQ6:ODS6 ODY6:OEA6 OEG6:OEI6 OEO6:OEQ6 OEW6:OEY6 OFE6:OFG6 OFM6:OFO6 OFU6:OFW6 OGC6:OGE6 OGK6:OGM6 OGS6:OGU6 OHA6:OHC6 OHI6:OHK6 OHQ6:OHS6 OHY6:OIA6 OIG6:OII6 OIO6:OIQ6 OIW6:OIY6 OJE6:OJG6 OJM6:OJO6 OJU6:OJW6 OKC6:OKE6 OKK6:OKM6 OKS6:OKU6 OLA6:OLC6 OLI6:OLK6 OLQ6:OLS6 OLY6:OMA6 OMG6:OMI6 OMO6:OMQ6 OMW6:OMY6 ONE6:ONG6 ONM6:ONO6 ONU6:ONW6 OOC6:OOE6 OOK6:OOM6 OOS6:OOU6 OPA6:OPC6 OPI6:OPK6 OPQ6:OPS6 OPY6:OQA6 OQG6:OQI6 OQO6:OQQ6 OQW6:OQY6 ORE6:ORG6 ORM6:ORO6 ORU6:ORW6 OSC6:OSE6 OSK6:OSM6 OSS6:OSU6 OTA6:OTC6 OTI6:OTK6 OTQ6:OTS6 OTY6:OUA6 OUG6:OUI6 OUO6:OUQ6 OUW6:OUY6 OVE6:OVG6 OVM6:OVO6 OVU6:OVW6 OWC6:OWE6 OWK6:OWM6 OWS6:OWU6 OXA6:OXC6 OXI6:OXK6 OXQ6:OXS6 OXY6:OYA6 OYG6:OYI6 OYO6:OYQ6 OYW6:OYY6 OZE6:OZG6 OZM6:OZO6 OZU6:OZW6 PAC6:PAE6 PAK6:PAM6 PAS6:PAU6 PBA6:PBC6 PBI6:PBK6 PBQ6:PBS6 PBY6:PCA6 PCG6:PCI6 PCO6:PCQ6 PCW6:PCY6 PDE6:PDG6 PDM6:PDO6 PDU6:PDW6 PEC6:PEE6 PEK6:PEM6 PES6:PEU6 PFA6:PFC6 PFI6:PFK6 PFQ6:PFS6 PFY6:PGA6 PGG6:PGI6 PGO6:PGQ6 PGW6:PGY6 PHE6:PHG6 PHM6:PHO6 PHU6:PHW6 PIC6:PIE6 PIK6:PIM6 PIS6:PIU6 PJA6:PJC6 PJI6:PJK6 PJQ6:PJS6 PJY6:PKA6 PKG6:PKI6 PKO6:PKQ6 PKW6:PKY6 PLE6:PLG6 PLM6:PLO6 PLU6:PLW6 PMC6:PME6 PMK6:PMM6 PMS6:PMU6 PNA6:PNC6 PNI6:PNK6 PNQ6:PNS6 PNY6:POA6 POG6:POI6 POO6:POQ6 POW6:POY6 PPE6:PPG6 PPM6:PPO6 PPU6:PPW6 PQC6:PQE6 PQK6:PQM6 PQS6:PQU6 PRA6:PRC6 PRI6:PRK6 PRQ6:PRS6 PRY6:PSA6 PSG6:PSI6 PSO6:PSQ6 PSW6:PSY6 PTE6:PTG6 PTM6:PTO6 PTU6:PTW6 PUC6:PUE6 PUK6:PUM6 PUS6:PUU6 PVA6:PVC6 PVI6:PVK6 PVQ6:PVS6 PVY6:PWA6 PWG6:PWI6 PWO6:PWQ6 PWW6:PWY6 PXE6:PXG6 PXM6:PXO6 PXU6:PXW6 PYC6:PYE6 PYK6:PYM6 PYS6:PYU6 PZA6:PZC6 PZI6:PZK6 PZQ6:PZS6 PZY6:QAA6 QAG6:QAI6 QAO6:QAQ6 QAW6:QAY6 QBE6:QBG6 QBM6:QBO6 QBU6:QBW6 QCC6:QCE6 QCK6:QCM6 QCS6:QCU6 QDA6:QDC6 QDI6:QDK6 QDQ6:QDS6 QDY6:QEA6 QEG6:QEI6 QEO6:QEQ6 QEW6:QEY6 QFE6:QFG6 QFM6:QFO6 QFU6:QFW6 QGC6:QGE6 QGK6:QGM6 QGS6:QGU6 QHA6:QHC6 QHI6:QHK6 QHQ6:QHS6 QHY6:QIA6 QIG6:QII6 QIO6:QIQ6 QIW6:QIY6 QJE6:QJG6 QJM6:QJO6 QJU6:QJW6 QKC6:QKE6 QKK6:QKM6 QKS6:QKU6 QLA6:QLC6 QLI6:QLK6 QLQ6:QLS6 QLY6:QMA6 QMG6:QMI6 QMO6:QMQ6 QMW6:QMY6 QNE6:QNG6 QNM6:QNO6 QNU6:QNW6 QOC6:QOE6 QOK6:QOM6 QOS6:QOU6 QPA6:QPC6 QPI6:QPK6 QPQ6:QPS6 QPY6:QQA6 QQG6:QQI6 QQO6:QQQ6 QQW6:QQY6 QRE6:QRG6 QRM6:QRO6 QRU6:QRW6 QSC6:QSE6 QSK6:QSM6 QSS6:QSU6 QTA6:QTC6 QTI6:QTK6 QTQ6:QTS6 QTY6:QUA6 QUG6:QUI6 QUO6:QUQ6 QUW6:QUY6 QVE6:QVG6 QVM6:QVO6 QVU6:QVW6 QWC6:QWE6 QWK6:QWM6 QWS6:QWU6 QXA6:QXC6 QXI6:QXK6 QXQ6:QXS6 QXY6:QYA6 QYG6:QYI6 QYO6:QYQ6 QYW6:QYY6 QZE6:QZG6 QZM6:QZO6 QZU6:QZW6 RAC6:RAE6 RAK6:RAM6 RAS6:RAU6 RBA6:RBC6 RBI6:RBK6 RBQ6:RBS6 RBY6:RCA6 RCG6:RCI6 RCO6:RCQ6 RCW6:RCY6 RDE6:RDG6 RDM6:RDO6 RDU6:RDW6 REC6:REE6 REK6:REM6 RES6:REU6 RFA6:RFC6 RFI6:RFK6 RFQ6:RFS6 RFY6:RGA6 RGG6:RGI6 RGO6:RGQ6 RGW6:RGY6 RHE6:RHG6 RHM6:RHO6 RHU6:RHW6 RIC6:RIE6 RIK6:RIM6 RIS6:RIU6 RJA6:RJC6 RJI6:RJK6 RJQ6:RJS6 RJY6:RKA6 RKG6:RKI6 RKO6:RKQ6 RKW6:RKY6 RLE6:RLG6 RLM6:RLO6 RLU6:RLW6 RMC6:RME6 RMK6:RMM6 RMS6:RMU6 RNA6:RNC6 RNI6:RNK6 RNQ6:RNS6 RNY6:ROA6 ROG6:ROI6 ROO6:ROQ6 ROW6:ROY6 RPE6:RPG6 RPM6:RPO6 RPU6:RPW6 RQC6:RQE6 RQK6:RQM6 RQS6:RQU6 RRA6:RRC6 RRI6:RRK6 RRQ6:RRS6 RRY6:RSA6 RSG6:RSI6 RSO6:RSQ6 RSW6:RSY6 RTE6:RTG6 RTM6:RTO6 RTU6:RTW6 RUC6:RUE6 RUK6:RUM6 RUS6:RUU6 RVA6:RVC6 RVI6:RVK6 RVQ6:RVS6 RVY6:RWA6 RWG6:RWI6 RWO6:RWQ6 RWW6:RWY6 RXE6:RXG6 RXM6:RXO6 RXU6:RXW6 RYC6:RYE6 RYK6:RYM6 RYS6:RYU6 RZA6:RZC6 RZI6:RZK6 RZQ6:RZS6 RZY6:SAA6 SAG6:SAI6 SAO6:SAQ6 SAW6:SAY6 SBE6:SBG6 SBM6:SBO6 SBU6:SBW6 SCC6:SCE6 SCK6:SCM6 SCS6:SCU6 SDA6:SDC6 SDI6:SDK6 SDQ6:SDS6 SDY6:SEA6 SEG6:SEI6 SEO6:SEQ6 SEW6:SEY6 SFE6:SFG6 SFM6:SFO6 SFU6:SFW6 SGC6:SGE6 SGK6:SGM6 SGS6:SGU6 SHA6:SHC6 SHI6:SHK6 SHQ6:SHS6 SHY6:SIA6 SIG6:SII6 SIO6:SIQ6 SIW6:SIY6 SJE6:SJG6 SJM6:SJO6 SJU6:SJW6 SKC6:SKE6 SKK6:SKM6 SKS6:SKU6 SLA6:SLC6 SLI6:SLK6 SLQ6:SLS6 SLY6:SMA6 SMG6:SMI6 SMO6:SMQ6 SMW6:SMY6 SNE6:SNG6 SNM6:SNO6 SNU6:SNW6 SOC6:SOE6 SOK6:SOM6 SOS6:SOU6 SPA6:SPC6 SPI6:SPK6 SPQ6:SPS6 SPY6:SQA6 SQG6:SQI6 SQO6:SQQ6 SQW6:SQY6 SRE6:SRG6 SRM6:SRO6 SRU6:SRW6 SSC6:SSE6 SSK6:SSM6 SSS6:SSU6 STA6:STC6 STI6:STK6 STQ6:STS6 STY6:SUA6 SUG6:SUI6 SUO6:SUQ6 SUW6:SUY6 SVE6:SVG6 SVM6:SVO6 SVU6:SVW6 SWC6:SWE6 SWK6:SWM6 SWS6:SWU6 SXA6:SXC6 SXI6:SXK6 SXQ6:SXS6 SXY6:SYA6 SYG6:SYI6 SYO6:SYQ6 SYW6:SYY6 SZE6:SZG6 SZM6:SZO6 SZU6:SZW6 TAC6:TAE6 TAK6:TAM6 TAS6:TAU6 TBA6:TBC6 TBI6:TBK6 TBQ6:TBS6 TBY6:TCA6 TCG6:TCI6 TCO6:TCQ6 TCW6:TCY6 TDE6:TDG6 TDM6:TDO6 TDU6:TDW6 TEC6:TEE6 TEK6:TEM6 TES6:TEU6 TFA6:TFC6 TFI6:TFK6 TFQ6:TFS6 TFY6:TGA6 TGG6:TGI6 TGO6:TGQ6 TGW6:TGY6 THE6:THG6 THM6:THO6 THU6:THW6 TIC6:TIE6 TIK6:TIM6 TIS6:TIU6 TJA6:TJC6 TJI6:TJK6 TJQ6:TJS6 TJY6:TKA6 TKG6:TKI6 TKO6:TKQ6 TKW6:TKY6 TLE6:TLG6 TLM6:TLO6 TLU6:TLW6 TMC6:TME6 TMK6:TMM6 TMS6:TMU6 TNA6:TNC6 TNI6:TNK6 TNQ6:TNS6 TNY6:TOA6 TOG6:TOI6 TOO6:TOQ6 TOW6:TOY6 TPE6:TPG6 TPM6:TPO6 TPU6:TPW6 TQC6:TQE6 TQK6:TQM6 TQS6:TQU6 TRA6:TRC6 TRI6:TRK6 TRQ6:TRS6 TRY6:TSA6 TSG6:TSI6 TSO6:TSQ6 TSW6:TSY6 TTE6:TTG6 TTM6:TTO6 TTU6:TTW6 TUC6:TUE6 TUK6:TUM6 TUS6:TUU6 TVA6:TVC6 TVI6:TVK6 TVQ6:TVS6 TVY6:TWA6 TWG6:TWI6 TWO6:TWQ6 TWW6:TWY6 TXE6:TXG6 TXM6:TXO6 TXU6:TXW6 TYC6:TYE6 TYK6:TYM6 TYS6:TYU6 TZA6:TZC6 TZI6:TZK6 TZQ6:TZS6 TZY6:UAA6 UAG6:UAI6 UAO6:UAQ6 UAW6:UAY6 UBE6:UBG6 UBM6:UBO6 UBU6:UBW6 UCC6:UCE6 UCK6:UCM6 UCS6:UCU6 UDA6:UDC6 UDI6:UDK6 UDQ6:UDS6 UDY6:UEA6 UEG6:UEI6 UEO6:UEQ6 UEW6:UEY6 UFE6:UFG6 UFM6:UFO6 UFU6:UFW6 UGC6:UGE6 UGK6:UGM6 UGS6:UGU6 UHA6:UHC6 UHI6:UHK6 UHQ6:UHS6 UHY6:UIA6 UIG6:UII6 UIO6:UIQ6 UIW6:UIY6 UJE6:UJG6 UJM6:UJO6 UJU6:UJW6 UKC6:UKE6 UKK6:UKM6 UKS6:UKU6 ULA6:ULC6 ULI6:ULK6 ULQ6:ULS6 ULY6:UMA6 UMG6:UMI6 UMO6:UMQ6 UMW6:UMY6 UNE6:UNG6 UNM6:UNO6 UNU6:UNW6 UOC6:UOE6 UOK6:UOM6 UOS6:UOU6 UPA6:UPC6 UPI6:UPK6 UPQ6:UPS6 UPY6:UQA6 UQG6:UQI6 UQO6:UQQ6 UQW6:UQY6 URE6:URG6 URM6:URO6 URU6:URW6 USC6:USE6 USK6:USM6 USS6:USU6 UTA6:UTC6 UTI6:UTK6 UTQ6:UTS6 UTY6:UUA6 UUG6:UUI6 UUO6:UUQ6 UUW6:UUY6 UVE6:UVG6 UVM6:UVO6 UVU6:UVW6 UWC6:UWE6 UWK6:UWM6 UWS6:UWU6 UXA6:UXC6 UXI6:UXK6 UXQ6:UXS6 UXY6:UYA6 UYG6:UYI6 UYO6:UYQ6 UYW6:UYY6 UZE6:UZG6 UZM6:UZO6 UZU6:UZW6 VAC6:VAE6 VAK6:VAM6 VAS6:VAU6 VBA6:VBC6 VBI6:VBK6 VBQ6:VBS6 VBY6:VCA6 VCG6:VCI6 VCO6:VCQ6 VCW6:VCY6 VDE6:VDG6 VDM6:VDO6 VDU6:VDW6 VEC6:VEE6 VEK6:VEM6 VES6:VEU6 VFA6:VFC6 VFI6:VFK6 VFQ6:VFS6 VFY6:VGA6 VGG6:VGI6 VGO6:VGQ6 VGW6:VGY6 VHE6:VHG6 VHM6:VHO6 VHU6:VHW6 VIC6:VIE6 VIK6:VIM6 VIS6:VIU6 VJA6:VJC6 VJI6:VJK6 VJQ6:VJS6 VJY6:VKA6 VKG6:VKI6 VKO6:VKQ6 VKW6:VKY6 VLE6:VLG6 VLM6:VLO6 VLU6:VLW6 VMC6:VME6 VMK6:VMM6 VMS6:VMU6 VNA6:VNC6 VNI6:VNK6 VNQ6:VNS6 VNY6:VOA6 VOG6:VOI6 VOO6:VOQ6 VOW6:VOY6 VPE6:VPG6 VPM6:VPO6 VPU6:VPW6 VQC6:VQE6 VQK6:VQM6 VQS6:VQU6 VRA6:VRC6 VRI6:VRK6 VRQ6:VRS6 VRY6:VSA6 VSG6:VSI6 VSO6:VSQ6 VSW6:VSY6 VTE6:VTG6 VTM6:VTO6 VTU6:VTW6 VUC6:VUE6 VUK6:VUM6 VUS6:VUU6 VVA6:VVC6 VVI6:VVK6 VVQ6:VVS6 VVY6:VWA6 VWG6:VWI6 VWO6:VWQ6 VWW6:VWY6 VXE6:VXG6 VXM6:VXO6 VXU6:VXW6 VYC6:VYE6 VYK6:VYM6 VYS6:VYU6 VZA6:VZC6 VZI6:VZK6 VZQ6:VZS6 VZY6:WAA6 WAG6:WAI6 WAO6:WAQ6 WAW6:WAY6 WBE6:WBG6 WBM6:WBO6 WBU6:WBW6 WCC6:WCE6 WCK6:WCM6 WCS6:WCU6 WDA6:WDC6 WDI6:WDK6 WDQ6:WDS6 WDY6:WEA6 WEG6:WEI6 WEO6:WEQ6 WEW6:WEY6 WFE6:WFG6 WFM6:WFO6 WFU6:WFW6 WGC6:WGE6 WGK6:WGM6 WGS6:WGU6 WHA6:WHC6 WHI6:WHK6 WHQ6:WHS6 WHY6:WIA6 WIG6:WII6 WIO6:WIQ6 WIW6:WIY6 WJE6:WJG6 WJM6:WJO6 WJU6:WJW6 WKC6:WKE6 WKK6:WKM6 WKS6:WKU6 WLA6:WLC6 WLI6:WLK6 WLQ6:WLS6 WLY6:WMA6 WMG6:WMI6 WMO6:WMQ6 WMW6:WMY6 WNE6:WNG6 WNM6:WNO6 WNU6:WNW6 WOC6:WOE6 WOK6:WOM6 WOS6:WOU6 WPA6:WPC6 WPI6:WPK6 WPQ6:WPS6 WPY6:WQA6 WQG6:WQI6 WQO6:WQQ6 WQW6:WQY6 WRE6:WRG6 WRM6:WRO6 WRU6:WRW6 WSC6:WSE6 WSK6:WSM6 WSS6:WSU6 WTA6:WTC6 WTI6:WTK6 WTQ6:WTS6 WTY6:WUA6 WUG6:WUI6 WUO6:WUQ6 WUW6:WUY6 WVE6:WVG6 WVM6:WVO6 WVU6:WVW6 WWC6:WWE6 WWK6:WWM6 WWS6:WWU6 WXA6:WXC6 WXI6:WXK6 WXQ6:WXS6 WXY6:WYA6 WYG6:WYI6 WYO6:WYQ6 WYW6:WYY6 WZE6:WZG6 WZM6:WZO6 WZU6:WZW6 XAC6:XAE6 XAK6:XAM6 XAS6:XAU6 XBA6:XBC6 XBI6:XBK6 XBQ6:XBS6 XBY6:XCA6 XCG6:XCI6 XCO6:XCQ6 XCW6:XCY6 XDE6:XDG6 XDM6:XDO6 XDU6:XDW6 XEC6:XEE6 XEK6:XEM6 XES6:XEU6 XFA6:XFD6 E6:G6" name="Intervalo6"/>
    <protectedRange sqref="H5 Q6 Y6 AG6 AO6 AW6 BE6 BM6 BU6 CC6 CK6 CS6 DA6 DI6 DQ6 DY6 EG6 EO6 EW6 FE6 FM6 FU6 GC6 GK6 GS6 HA6 HI6 HQ6 HY6 IG6 IO6 IW6 JE6 JM6 JU6 KC6 KK6 KS6 LA6 LI6 LQ6 LY6 MG6 MO6 MW6 NE6 NM6 NU6 OC6 OK6 OS6 PA6 PI6 PQ6 PY6 QG6 QO6 QW6 RE6 RM6 RU6 SC6 SK6 SS6 TA6 TI6 TQ6 TY6 UG6 UO6 UW6 VE6 VM6 VU6 WC6 WK6 WS6 XA6 XI6 XQ6 XY6 YG6 YO6 YW6 ZE6 ZM6 ZU6 AAC6 AAK6 AAS6 ABA6 ABI6 ABQ6 ABY6 ACG6 ACO6 ACW6 ADE6 ADM6 ADU6 AEC6 AEK6 AES6 AFA6 AFI6 AFQ6 AFY6 AGG6 AGO6 AGW6 AHE6 AHM6 AHU6 AIC6 AIK6 AIS6 AJA6 AJI6 AJQ6 AJY6 AKG6 AKO6 AKW6 ALE6 ALM6 ALU6 AMC6 AMK6 AMS6 ANA6 ANI6 ANQ6 ANY6 AOG6 AOO6 AOW6 APE6 APM6 APU6 AQC6 AQK6 AQS6 ARA6 ARI6 ARQ6 ARY6 ASG6 ASO6 ASW6 ATE6 ATM6 ATU6 AUC6 AUK6 AUS6 AVA6 AVI6 AVQ6 AVY6 AWG6 AWO6 AWW6 AXE6 AXM6 AXU6 AYC6 AYK6 AYS6 AZA6 AZI6 AZQ6 AZY6 BAG6 BAO6 BAW6 BBE6 BBM6 BBU6 BCC6 BCK6 BCS6 BDA6 BDI6 BDQ6 BDY6 BEG6 BEO6 BEW6 BFE6 BFM6 BFU6 BGC6 BGK6 BGS6 BHA6 BHI6 BHQ6 BHY6 BIG6 BIO6 BIW6 BJE6 BJM6 BJU6 BKC6 BKK6 BKS6 BLA6 BLI6 BLQ6 BLY6 BMG6 BMO6 BMW6 BNE6 BNM6 BNU6 BOC6 BOK6 BOS6 BPA6 BPI6 BPQ6 BPY6 BQG6 BQO6 BQW6 BRE6 BRM6 BRU6 BSC6 BSK6 BSS6 BTA6 BTI6 BTQ6 BTY6 BUG6 BUO6 BUW6 BVE6 BVM6 BVU6 BWC6 BWK6 BWS6 BXA6 BXI6 BXQ6 BXY6 BYG6 BYO6 BYW6 BZE6 BZM6 BZU6 CAC6 CAK6 CAS6 CBA6 CBI6 CBQ6 CBY6 CCG6 CCO6 CCW6 CDE6 CDM6 CDU6 CEC6 CEK6 CES6 CFA6 CFI6 CFQ6 CFY6 CGG6 CGO6 CGW6 CHE6 CHM6 CHU6 CIC6 CIK6 CIS6 CJA6 CJI6 CJQ6 CJY6 CKG6 CKO6 CKW6 CLE6 CLM6 CLU6 CMC6 CMK6 CMS6 CNA6 CNI6 CNQ6 CNY6 COG6 COO6 COW6 CPE6 CPM6 CPU6 CQC6 CQK6 CQS6 CRA6 CRI6 CRQ6 CRY6 CSG6 CSO6 CSW6 CTE6 CTM6 CTU6 CUC6 CUK6 CUS6 CVA6 CVI6 CVQ6 CVY6 CWG6 CWO6 CWW6 CXE6 CXM6 CXU6 CYC6 CYK6 CYS6 CZA6 CZI6 CZQ6 CZY6 DAG6 DAO6 DAW6 DBE6 DBM6 DBU6 DCC6 DCK6 DCS6 DDA6 DDI6 DDQ6 DDY6 DEG6 DEO6 DEW6 DFE6 DFM6 DFU6 DGC6 DGK6 DGS6 DHA6 DHI6 DHQ6 DHY6 DIG6 DIO6 DIW6 DJE6 DJM6 DJU6 DKC6 DKK6 DKS6 DLA6 DLI6 DLQ6 DLY6 DMG6 DMO6 DMW6 DNE6 DNM6 DNU6 DOC6 DOK6 DOS6 DPA6 DPI6 DPQ6 DPY6 DQG6 DQO6 DQW6 DRE6 DRM6 DRU6 DSC6 DSK6 DSS6 DTA6 DTI6 DTQ6 DTY6 DUG6 DUO6 DUW6 DVE6 DVM6 DVU6 DWC6 DWK6 DWS6 DXA6 DXI6 DXQ6 DXY6 DYG6 DYO6 DYW6 DZE6 DZM6 DZU6 EAC6 EAK6 EAS6 EBA6 EBI6 EBQ6 EBY6 ECG6 ECO6 ECW6 EDE6 EDM6 EDU6 EEC6 EEK6 EES6 EFA6 EFI6 EFQ6 EFY6 EGG6 EGO6 EGW6 EHE6 EHM6 EHU6 EIC6 EIK6 EIS6 EJA6 EJI6 EJQ6 EJY6 EKG6 EKO6 EKW6 ELE6 ELM6 ELU6 EMC6 EMK6 EMS6 ENA6 ENI6 ENQ6 ENY6 EOG6 EOO6 EOW6 EPE6 EPM6 EPU6 EQC6 EQK6 EQS6 ERA6 ERI6 ERQ6 ERY6 ESG6 ESO6 ESW6 ETE6 ETM6 ETU6 EUC6 EUK6 EUS6 EVA6 EVI6 EVQ6 EVY6 EWG6 EWO6 EWW6 EXE6 EXM6 EXU6 EYC6 EYK6 EYS6 EZA6 EZI6 EZQ6 EZY6 FAG6 FAO6 FAW6 FBE6 FBM6 FBU6 FCC6 FCK6 FCS6 FDA6 FDI6 FDQ6 FDY6 FEG6 FEO6 FEW6 FFE6 FFM6 FFU6 FGC6 FGK6 FGS6 FHA6 FHI6 FHQ6 FHY6 FIG6 FIO6 FIW6 FJE6 FJM6 FJU6 FKC6 FKK6 FKS6 FLA6 FLI6 FLQ6 FLY6 FMG6 FMO6 FMW6 FNE6 FNM6 FNU6 FOC6 FOK6 FOS6 FPA6 FPI6 FPQ6 FPY6 FQG6 FQO6 FQW6 FRE6 FRM6 FRU6 FSC6 FSK6 FSS6 FTA6 FTI6 FTQ6 FTY6 FUG6 FUO6 FUW6 FVE6 FVM6 FVU6 FWC6 FWK6 FWS6 FXA6 FXI6 FXQ6 FXY6 FYG6 FYO6 FYW6 FZE6 FZM6 FZU6 GAC6 GAK6 GAS6 GBA6 GBI6 GBQ6 GBY6 GCG6 GCO6 GCW6 GDE6 GDM6 GDU6 GEC6 GEK6 GES6 GFA6 GFI6 GFQ6 GFY6 GGG6 GGO6 GGW6 GHE6 GHM6 GHU6 GIC6 GIK6 GIS6 GJA6 GJI6 GJQ6 GJY6 GKG6 GKO6 GKW6 GLE6 GLM6 GLU6 GMC6 GMK6 GMS6 GNA6 GNI6 GNQ6 GNY6 GOG6 GOO6 GOW6 GPE6 GPM6 GPU6 GQC6 GQK6 GQS6 GRA6 GRI6 GRQ6 GRY6 GSG6 GSO6 GSW6 GTE6 GTM6 GTU6 GUC6 GUK6 GUS6 GVA6 GVI6 GVQ6 GVY6 GWG6 GWO6 GWW6 GXE6 GXM6 GXU6 GYC6 GYK6 GYS6 GZA6 GZI6 GZQ6 GZY6 HAG6 HAO6 HAW6 HBE6 HBM6 HBU6 HCC6 HCK6 HCS6 HDA6 HDI6 HDQ6 HDY6 HEG6 HEO6 HEW6 HFE6 HFM6 HFU6 HGC6 HGK6 HGS6 HHA6 HHI6 HHQ6 HHY6 HIG6 HIO6 HIW6 HJE6 HJM6 HJU6 HKC6 HKK6 HKS6 HLA6 HLI6 HLQ6 HLY6 HMG6 HMO6 HMW6 HNE6 HNM6 HNU6 HOC6 HOK6 HOS6 HPA6 HPI6 HPQ6 HPY6 HQG6 HQO6 HQW6 HRE6 HRM6 HRU6 HSC6 HSK6 HSS6 HTA6 HTI6 HTQ6 HTY6 HUG6 HUO6 HUW6 HVE6 HVM6 HVU6 HWC6 HWK6 HWS6 HXA6 HXI6 HXQ6 HXY6 HYG6 HYO6 HYW6 HZE6 HZM6 HZU6 IAC6 IAK6 IAS6 IBA6 IBI6 IBQ6 IBY6 ICG6 ICO6 ICW6 IDE6 IDM6 IDU6 IEC6 IEK6 IES6 IFA6 IFI6 IFQ6 IFY6 IGG6 IGO6 IGW6 IHE6 IHM6 IHU6 IIC6 IIK6 IIS6 IJA6 IJI6 IJQ6 IJY6 IKG6 IKO6 IKW6 ILE6 ILM6 ILU6 IMC6 IMK6 IMS6 INA6 INI6 INQ6 INY6 IOG6 IOO6 IOW6 IPE6 IPM6 IPU6 IQC6 IQK6 IQS6 IRA6 IRI6 IRQ6 IRY6 ISG6 ISO6 ISW6 ITE6 ITM6 ITU6 IUC6 IUK6 IUS6 IVA6 IVI6 IVQ6 IVY6 IWG6 IWO6 IWW6 IXE6 IXM6 IXU6 IYC6 IYK6 IYS6 IZA6 IZI6 IZQ6 IZY6 JAG6 JAO6 JAW6 JBE6 JBM6 JBU6 JCC6 JCK6 JCS6 JDA6 JDI6 JDQ6 JDY6 JEG6 JEO6 JEW6 JFE6 JFM6 JFU6 JGC6 JGK6 JGS6 JHA6 JHI6 JHQ6 JHY6 JIG6 JIO6 JIW6 JJE6 JJM6 JJU6 JKC6 JKK6 JKS6 JLA6 JLI6 JLQ6 JLY6 JMG6 JMO6 JMW6 JNE6 JNM6 JNU6 JOC6 JOK6 JOS6 JPA6 JPI6 JPQ6 JPY6 JQG6 JQO6 JQW6 JRE6 JRM6 JRU6 JSC6 JSK6 JSS6 JTA6 JTI6 JTQ6 JTY6 JUG6 JUO6 JUW6 JVE6 JVM6 JVU6 JWC6 JWK6 JWS6 JXA6 JXI6 JXQ6 JXY6 JYG6 JYO6 JYW6 JZE6 JZM6 JZU6 KAC6 KAK6 KAS6 KBA6 KBI6 KBQ6 KBY6 KCG6 KCO6 KCW6 KDE6 KDM6 KDU6 KEC6 KEK6 KES6 KFA6 KFI6 KFQ6 KFY6 KGG6 KGO6 KGW6 KHE6 KHM6 KHU6 KIC6 KIK6 KIS6 KJA6 KJI6 KJQ6 KJY6 KKG6 KKO6 KKW6 KLE6 KLM6 KLU6 KMC6 KMK6 KMS6 KNA6 KNI6 KNQ6 KNY6 KOG6 KOO6 KOW6 KPE6 KPM6 KPU6 KQC6 KQK6 KQS6 KRA6 KRI6 KRQ6 KRY6 KSG6 KSO6 KSW6 KTE6 KTM6 KTU6 KUC6 KUK6 KUS6 KVA6 KVI6 KVQ6 KVY6 KWG6 KWO6 KWW6 KXE6 KXM6 KXU6 KYC6 KYK6 KYS6 KZA6 KZI6 KZQ6 KZY6 LAG6 LAO6 LAW6 LBE6 LBM6 LBU6 LCC6 LCK6 LCS6 LDA6 LDI6 LDQ6 LDY6 LEG6 LEO6 LEW6 LFE6 LFM6 LFU6 LGC6 LGK6 LGS6 LHA6 LHI6 LHQ6 LHY6 LIG6 LIO6 LIW6 LJE6 LJM6 LJU6 LKC6 LKK6 LKS6 LLA6 LLI6 LLQ6 LLY6 LMG6 LMO6 LMW6 LNE6 LNM6 LNU6 LOC6 LOK6 LOS6 LPA6 LPI6 LPQ6 LPY6 LQG6 LQO6 LQW6 LRE6 LRM6 LRU6 LSC6 LSK6 LSS6 LTA6 LTI6 LTQ6 LTY6 LUG6 LUO6 LUW6 LVE6 LVM6 LVU6 LWC6 LWK6 LWS6 LXA6 LXI6 LXQ6 LXY6 LYG6 LYO6 LYW6 LZE6 LZM6 LZU6 MAC6 MAK6 MAS6 MBA6 MBI6 MBQ6 MBY6 MCG6 MCO6 MCW6 MDE6 MDM6 MDU6 MEC6 MEK6 MES6 MFA6 MFI6 MFQ6 MFY6 MGG6 MGO6 MGW6 MHE6 MHM6 MHU6 MIC6 MIK6 MIS6 MJA6 MJI6 MJQ6 MJY6 MKG6 MKO6 MKW6 MLE6 MLM6 MLU6 MMC6 MMK6 MMS6 MNA6 MNI6 MNQ6 MNY6 MOG6 MOO6 MOW6 MPE6 MPM6 MPU6 MQC6 MQK6 MQS6 MRA6 MRI6 MRQ6 MRY6 MSG6 MSO6 MSW6 MTE6 MTM6 MTU6 MUC6 MUK6 MUS6 MVA6 MVI6 MVQ6 MVY6 MWG6 MWO6 MWW6 MXE6 MXM6 MXU6 MYC6 MYK6 MYS6 MZA6 MZI6 MZQ6 MZY6 NAG6 NAO6 NAW6 NBE6 NBM6 NBU6 NCC6 NCK6 NCS6 NDA6 NDI6 NDQ6 NDY6 NEG6 NEO6 NEW6 NFE6 NFM6 NFU6 NGC6 NGK6 NGS6 NHA6 NHI6 NHQ6 NHY6 NIG6 NIO6 NIW6 NJE6 NJM6 NJU6 NKC6 NKK6 NKS6 NLA6 NLI6 NLQ6 NLY6 NMG6 NMO6 NMW6 NNE6 NNM6 NNU6 NOC6 NOK6 NOS6 NPA6 NPI6 NPQ6 NPY6 NQG6 NQO6 NQW6 NRE6 NRM6 NRU6 NSC6 NSK6 NSS6 NTA6 NTI6 NTQ6 NTY6 NUG6 NUO6 NUW6 NVE6 NVM6 NVU6 NWC6 NWK6 NWS6 NXA6 NXI6 NXQ6 NXY6 NYG6 NYO6 NYW6 NZE6 NZM6 NZU6 OAC6 OAK6 OAS6 OBA6 OBI6 OBQ6 OBY6 OCG6 OCO6 OCW6 ODE6 ODM6 ODU6 OEC6 OEK6 OES6 OFA6 OFI6 OFQ6 OFY6 OGG6 OGO6 OGW6 OHE6 OHM6 OHU6 OIC6 OIK6 OIS6 OJA6 OJI6 OJQ6 OJY6 OKG6 OKO6 OKW6 OLE6 OLM6 OLU6 OMC6 OMK6 OMS6 ONA6 ONI6 ONQ6 ONY6 OOG6 OOO6 OOW6 OPE6 OPM6 OPU6 OQC6 OQK6 OQS6 ORA6 ORI6 ORQ6 ORY6 OSG6 OSO6 OSW6 OTE6 OTM6 OTU6 OUC6 OUK6 OUS6 OVA6 OVI6 OVQ6 OVY6 OWG6 OWO6 OWW6 OXE6 OXM6 OXU6 OYC6 OYK6 OYS6 OZA6 OZI6 OZQ6 OZY6 PAG6 PAO6 PAW6 PBE6 PBM6 PBU6 PCC6 PCK6 PCS6 PDA6 PDI6 PDQ6 PDY6 PEG6 PEO6 PEW6 PFE6 PFM6 PFU6 PGC6 PGK6 PGS6 PHA6 PHI6 PHQ6 PHY6 PIG6 PIO6 PIW6 PJE6 PJM6 PJU6 PKC6 PKK6 PKS6 PLA6 PLI6 PLQ6 PLY6 PMG6 PMO6 PMW6 PNE6 PNM6 PNU6 POC6 POK6 POS6 PPA6 PPI6 PPQ6 PPY6 PQG6 PQO6 PQW6 PRE6 PRM6 PRU6 PSC6 PSK6 PSS6 PTA6 PTI6 PTQ6 PTY6 PUG6 PUO6 PUW6 PVE6 PVM6 PVU6 PWC6 PWK6 PWS6 PXA6 PXI6 PXQ6 PXY6 PYG6 PYO6 PYW6 PZE6 PZM6 PZU6 QAC6 QAK6 QAS6 QBA6 QBI6 QBQ6 QBY6 QCG6 QCO6 QCW6 QDE6 QDM6 QDU6 QEC6 QEK6 QES6 QFA6 QFI6 QFQ6 QFY6 QGG6 QGO6 QGW6 QHE6 QHM6 QHU6 QIC6 QIK6 QIS6 QJA6 QJI6 QJQ6 QJY6 QKG6 QKO6 QKW6 QLE6 QLM6 QLU6 QMC6 QMK6 QMS6 QNA6 QNI6 QNQ6 QNY6 QOG6 QOO6 QOW6 QPE6 QPM6 QPU6 QQC6 QQK6 QQS6 QRA6 QRI6 QRQ6 QRY6 QSG6 QSO6 QSW6 QTE6 QTM6 QTU6 QUC6 QUK6 QUS6 QVA6 QVI6 QVQ6 QVY6 QWG6 QWO6 QWW6 QXE6 QXM6 QXU6 QYC6 QYK6 QYS6 QZA6 QZI6 QZQ6 QZY6 RAG6 RAO6 RAW6 RBE6 RBM6 RBU6 RCC6 RCK6 RCS6 RDA6 RDI6 RDQ6 RDY6 REG6 REO6 REW6 RFE6 RFM6 RFU6 RGC6 RGK6 RGS6 RHA6 RHI6 RHQ6 RHY6 RIG6 RIO6 RIW6 RJE6 RJM6 RJU6 RKC6 RKK6 RKS6 RLA6 RLI6 RLQ6 RLY6 RMG6 RMO6 RMW6 RNE6 RNM6 RNU6 ROC6 ROK6 ROS6 RPA6 RPI6 RPQ6 RPY6 RQG6 RQO6 RQW6 RRE6 RRM6 RRU6 RSC6 RSK6 RSS6 RTA6 RTI6 RTQ6 RTY6 RUG6 RUO6 RUW6 RVE6 RVM6 RVU6 RWC6 RWK6 RWS6 RXA6 RXI6 RXQ6 RXY6 RYG6 RYO6 RYW6 RZE6 RZM6 RZU6 SAC6 SAK6 SAS6 SBA6 SBI6 SBQ6 SBY6 SCG6 SCO6 SCW6 SDE6 SDM6 SDU6 SEC6 SEK6 SES6 SFA6 SFI6 SFQ6 SFY6 SGG6 SGO6 SGW6 SHE6 SHM6 SHU6 SIC6 SIK6 SIS6 SJA6 SJI6 SJQ6 SJY6 SKG6 SKO6 SKW6 SLE6 SLM6 SLU6 SMC6 SMK6 SMS6 SNA6 SNI6 SNQ6 SNY6 SOG6 SOO6 SOW6 SPE6 SPM6 SPU6 SQC6 SQK6 SQS6 SRA6 SRI6 SRQ6 SRY6 SSG6 SSO6 SSW6 STE6 STM6 STU6 SUC6 SUK6 SUS6 SVA6 SVI6 SVQ6 SVY6 SWG6 SWO6 SWW6 SXE6 SXM6 SXU6 SYC6 SYK6 SYS6 SZA6 SZI6 SZQ6 SZY6 TAG6 TAO6 TAW6 TBE6 TBM6 TBU6 TCC6 TCK6 TCS6 TDA6 TDI6 TDQ6 TDY6 TEG6 TEO6 TEW6 TFE6 TFM6 TFU6 TGC6 TGK6 TGS6 THA6 THI6 THQ6 THY6 TIG6 TIO6 TIW6 TJE6 TJM6 TJU6 TKC6 TKK6 TKS6 TLA6 TLI6 TLQ6 TLY6 TMG6 TMO6 TMW6 TNE6 TNM6 TNU6 TOC6 TOK6 TOS6 TPA6 TPI6 TPQ6 TPY6 TQG6 TQO6 TQW6 TRE6 TRM6 TRU6 TSC6 TSK6 TSS6 TTA6 TTI6 TTQ6 TTY6 TUG6 TUO6 TUW6 TVE6 TVM6 TVU6 TWC6 TWK6 TWS6 TXA6 TXI6 TXQ6 TXY6 TYG6 TYO6 TYW6 TZE6 TZM6 TZU6 UAC6 UAK6 UAS6 UBA6 UBI6 UBQ6 UBY6 UCG6 UCO6 UCW6 UDE6 UDM6 UDU6 UEC6 UEK6 UES6 UFA6 UFI6 UFQ6 UFY6 UGG6 UGO6 UGW6 UHE6 UHM6 UHU6 UIC6 UIK6 UIS6 UJA6 UJI6 UJQ6 UJY6 UKG6 UKO6 UKW6 ULE6 ULM6 ULU6 UMC6 UMK6 UMS6 UNA6 UNI6 UNQ6 UNY6 UOG6 UOO6 UOW6 UPE6 UPM6 UPU6 UQC6 UQK6 UQS6 URA6 URI6 URQ6 URY6 USG6 USO6 USW6 UTE6 UTM6 UTU6 UUC6 UUK6 UUS6 UVA6 UVI6 UVQ6 UVY6 UWG6 UWO6 UWW6 UXE6 UXM6 UXU6 UYC6 UYK6 UYS6 UZA6 UZI6 UZQ6 UZY6 VAG6 VAO6 VAW6 VBE6 VBM6 VBU6 VCC6 VCK6 VCS6 VDA6 VDI6 VDQ6 VDY6 VEG6 VEO6 VEW6 VFE6 VFM6 VFU6 VGC6 VGK6 VGS6 VHA6 VHI6 VHQ6 VHY6 VIG6 VIO6 VIW6 VJE6 VJM6 VJU6 VKC6 VKK6 VKS6 VLA6 VLI6 VLQ6 VLY6 VMG6 VMO6 VMW6 VNE6 VNM6 VNU6 VOC6 VOK6 VOS6 VPA6 VPI6 VPQ6 VPY6 VQG6 VQO6 VQW6 VRE6 VRM6 VRU6 VSC6 VSK6 VSS6 VTA6 VTI6 VTQ6 VTY6 VUG6 VUO6 VUW6 VVE6 VVM6 VVU6 VWC6 VWK6 VWS6 VXA6 VXI6 VXQ6 VXY6 VYG6 VYO6 VYW6 VZE6 VZM6 VZU6 WAC6 WAK6 WAS6 WBA6 WBI6 WBQ6 WBY6 WCG6 WCO6 WCW6 WDE6 WDM6 WDU6 WEC6 WEK6 WES6 WFA6 WFI6 WFQ6 WFY6 WGG6 WGO6 WGW6 WHE6 WHM6 WHU6 WIC6 WIK6 WIS6 WJA6 WJI6 WJQ6 WJY6 WKG6 WKO6 WKW6 WLE6 WLM6 WLU6 WMC6 WMK6 WMS6 WNA6 WNI6 WNQ6 WNY6 WOG6 WOO6 WOW6 WPE6 WPM6 WPU6 WQC6 WQK6 WQS6 WRA6 WRI6 WRQ6 WRY6 WSG6 WSO6 WSW6 WTE6 WTM6 WTU6 WUC6 WUK6 WUS6 WVA6 WVI6 WVQ6 WVY6 WWG6 WWO6 WWW6 WXE6 WXM6 WXU6 WYC6 WYK6 WYS6 WZA6 WZI6 WZQ6 WZY6 XAG6 XAO6 XAW6 XBE6 XBM6 XBU6 XCC6 XCK6 XCS6 XDA6 XDI6 XDQ6 XDY6 XEG6 XEO6 XEW6 I6" name="Intervalo4"/>
  </protectedRanges>
  <mergeCells count="4">
    <mergeCell ref="A3:G3"/>
    <mergeCell ref="A1:H1"/>
    <mergeCell ref="A2:H2"/>
    <mergeCell ref="A12:F12"/>
  </mergeCells>
  <conditionalFormatting sqref="A13:H1048576 H9:H12 I8:XFD1048576 A9:G11 A1:A2 I1:XFD2 A3:XFD3 A6:XFD7 A4:E5 G4:G5 I4:XFD5">
    <cfRule type="expression" dxfId="22" priority="12">
      <formula>CELL("proteger",A1)=1</formula>
    </cfRule>
  </conditionalFormatting>
  <conditionalFormatting sqref="A8:D8 A12 G12">
    <cfRule type="expression" dxfId="21" priority="10">
      <formula>CELL("proteger",A8)=1</formula>
    </cfRule>
  </conditionalFormatting>
  <conditionalFormatting sqref="E8:H8">
    <cfRule type="expression" dxfId="20" priority="5">
      <formula>CELL("proteger",E8)=1</formula>
    </cfRule>
  </conditionalFormatting>
  <conditionalFormatting sqref="F4:F5">
    <cfRule type="expression" dxfId="19" priority="4">
      <formula>CELL("proteger",F4)=1</formula>
    </cfRule>
  </conditionalFormatting>
  <conditionalFormatting sqref="H5">
    <cfRule type="expression" dxfId="18" priority="2">
      <formula>CELL("proteger",H5)=1</formula>
    </cfRule>
  </conditionalFormatting>
  <conditionalFormatting sqref="H4">
    <cfRule type="expression" dxfId="17" priority="1">
      <formula>CELL("proteger",H4)=1</formula>
    </cfRule>
  </conditionalFormatting>
  <printOptions horizontalCentered="1"/>
  <pageMargins left="0.39370078740157483" right="0.39370078740157483" top="1.1811023622047245" bottom="0.78740157480314965" header="0.19685039370078741" footer="0.19685039370078741"/>
  <pageSetup paperSize="9" scale="70" fitToHeight="0" orientation="portrait" r:id="rId1"/>
  <headerFooter scaleWithDoc="0">
    <oddHeader>&amp;L&amp;G&amp;RPagina&amp;P &amp;A</oddHeader>
  </headerFooter>
  <drawing r:id="rId2"/>
  <legacyDrawing r:id="rId3"/>
  <legacyDrawingHF r:id="rId4"/>
  <oleObjects>
    <mc:AlternateContent xmlns:mc="http://schemas.openxmlformats.org/markup-compatibility/2006">
      <mc:Choice Requires="x14">
        <oleObject progId="CorelDraw.Graphic.18" shapeId="29697" r:id="rId5">
          <objectPr defaultSize="0" autoPict="0" r:id="rId6">
            <anchor moveWithCells="1">
              <from>
                <xdr:col>1</xdr:col>
                <xdr:colOff>1181100</xdr:colOff>
                <xdr:row>0</xdr:row>
                <xdr:rowOff>85725</xdr:rowOff>
              </from>
              <to>
                <xdr:col>1</xdr:col>
                <xdr:colOff>2095500</xdr:colOff>
                <xdr:row>0</xdr:row>
                <xdr:rowOff>771525</xdr:rowOff>
              </to>
            </anchor>
          </objectPr>
        </oleObject>
      </mc:Choice>
      <mc:Fallback>
        <oleObject progId="CorelDraw.Graphic.18" shapeId="29697" r:id="rId5"/>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DF2A9-91FD-4B98-BEB6-F349694BA069}">
  <sheetPr>
    <tabColor theme="1" tint="0.249977111117893"/>
    <pageSetUpPr fitToPage="1"/>
  </sheetPr>
  <dimension ref="A1:I17"/>
  <sheetViews>
    <sheetView zoomScaleNormal="100" zoomScaleSheetLayoutView="100" workbookViewId="0">
      <selection activeCell="H5" sqref="H5"/>
    </sheetView>
  </sheetViews>
  <sheetFormatPr defaultColWidth="9.125" defaultRowHeight="14.25"/>
  <cols>
    <col min="1" max="1" width="5.375" style="5" customWidth="1"/>
    <col min="2" max="2" width="45.75" style="5" bestFit="1" customWidth="1"/>
    <col min="3" max="3" width="11.625" style="4" customWidth="1"/>
    <col min="4" max="4" width="12.625" style="5" bestFit="1" customWidth="1"/>
    <col min="5" max="6" width="16" style="5" customWidth="1"/>
    <col min="7" max="7" width="20.125" style="5" bestFit="1" customWidth="1"/>
    <col min="8" max="9" width="19.25" style="5" bestFit="1" customWidth="1"/>
    <col min="10" max="11" width="9.125" style="5"/>
    <col min="12" max="12" width="14" style="5" bestFit="1" customWidth="1"/>
    <col min="13" max="16384" width="9.125" style="5"/>
  </cols>
  <sheetData>
    <row r="1" spans="1:9" ht="65.25" customHeight="1" thickBot="1">
      <c r="A1" s="1067" t="s">
        <v>137</v>
      </c>
      <c r="B1" s="1068"/>
      <c r="C1" s="1068"/>
      <c r="D1" s="1068"/>
      <c r="E1" s="1068"/>
      <c r="F1" s="1068"/>
      <c r="G1" s="1068"/>
      <c r="H1" s="1069"/>
    </row>
    <row r="2" spans="1:9" ht="24" thickBot="1">
      <c r="A2" s="1070" t="s">
        <v>110</v>
      </c>
      <c r="B2" s="1071"/>
      <c r="C2" s="1071"/>
      <c r="D2" s="1071"/>
      <c r="E2" s="1071"/>
      <c r="F2" s="1071"/>
      <c r="G2" s="1071"/>
      <c r="H2" s="1072"/>
    </row>
    <row r="3" spans="1:9" ht="10.5" customHeight="1" thickBot="1">
      <c r="A3" s="1066"/>
      <c r="B3" s="1066"/>
      <c r="C3" s="1066"/>
      <c r="D3" s="1066"/>
      <c r="E3" s="1066"/>
      <c r="F3" s="1066"/>
      <c r="G3" s="1066"/>
      <c r="H3" s="91"/>
    </row>
    <row r="4" spans="1:9" ht="15.75" customHeight="1">
      <c r="A4" s="114" t="s">
        <v>51</v>
      </c>
      <c r="B4" s="115"/>
      <c r="C4" s="115"/>
      <c r="D4" s="115"/>
      <c r="E4" s="115"/>
      <c r="F4" s="115"/>
      <c r="G4" s="116" t="s">
        <v>52</v>
      </c>
      <c r="H4" s="744" t="s">
        <v>606</v>
      </c>
    </row>
    <row r="5" spans="1:9" ht="16.5" thickBot="1">
      <c r="A5" s="117" t="s">
        <v>127</v>
      </c>
      <c r="B5" s="118"/>
      <c r="C5" s="118"/>
      <c r="D5" s="118"/>
      <c r="E5" s="118"/>
      <c r="F5" s="118"/>
      <c r="G5" s="119" t="s">
        <v>53</v>
      </c>
      <c r="H5" s="740">
        <v>0</v>
      </c>
    </row>
    <row r="6" spans="1:9" ht="15.75" customHeight="1">
      <c r="A6" s="120"/>
      <c r="B6" s="120"/>
      <c r="C6" s="121"/>
      <c r="D6" s="121"/>
      <c r="E6" s="122"/>
      <c r="F6" s="122"/>
      <c r="G6" s="123"/>
      <c r="H6" s="91"/>
    </row>
    <row r="7" spans="1:9" ht="15.75" thickBot="1">
      <c r="A7" s="91"/>
      <c r="B7" s="91"/>
      <c r="C7" s="98"/>
      <c r="D7" s="91"/>
      <c r="E7" s="91"/>
      <c r="F7" s="91"/>
      <c r="G7" s="124"/>
      <c r="H7" s="91"/>
      <c r="I7" s="14"/>
    </row>
    <row r="8" spans="1:9" s="45" customFormat="1" ht="48" thickBot="1">
      <c r="A8" s="139" t="s">
        <v>54</v>
      </c>
      <c r="B8" s="140" t="s">
        <v>55</v>
      </c>
      <c r="C8" s="140" t="s">
        <v>56</v>
      </c>
      <c r="D8" s="140" t="s">
        <v>57</v>
      </c>
      <c r="E8" s="141" t="s">
        <v>205</v>
      </c>
      <c r="F8" s="141" t="s">
        <v>355</v>
      </c>
      <c r="G8" s="141" t="s">
        <v>351</v>
      </c>
      <c r="H8" s="142" t="s">
        <v>215</v>
      </c>
      <c r="I8" s="46"/>
    </row>
    <row r="9" spans="1:9" ht="15.75">
      <c r="A9" s="132">
        <v>2</v>
      </c>
      <c r="B9" s="133" t="s">
        <v>58</v>
      </c>
      <c r="C9" s="134"/>
      <c r="D9" s="135"/>
      <c r="E9" s="136"/>
      <c r="F9" s="136"/>
      <c r="G9" s="137"/>
      <c r="H9" s="138"/>
      <c r="I9" s="14"/>
    </row>
    <row r="10" spans="1:9" ht="15.75">
      <c r="A10" s="125" t="s">
        <v>118</v>
      </c>
      <c r="B10" s="126" t="s">
        <v>510</v>
      </c>
      <c r="C10" s="127" t="s">
        <v>8</v>
      </c>
      <c r="D10" s="128">
        <f>'COLETA RURAL'!K17</f>
        <v>2770.38</v>
      </c>
      <c r="E10" s="129" t="e">
        <f>'CAMINHÃO BASC. RURAL'!E60</f>
        <v>#DIV/0!</v>
      </c>
      <c r="F10" s="129" t="e">
        <f>E10*D10</f>
        <v>#DIV/0!</v>
      </c>
      <c r="G10" s="130" t="e">
        <f>F10*(1+$H$5)</f>
        <v>#DIV/0!</v>
      </c>
      <c r="H10" s="131" t="e">
        <f>SUM(G10*12)</f>
        <v>#DIV/0!</v>
      </c>
      <c r="I10" s="16"/>
    </row>
    <row r="11" spans="1:9" ht="16.5" thickBot="1">
      <c r="A11" s="143" t="s">
        <v>119</v>
      </c>
      <c r="B11" s="144" t="s">
        <v>511</v>
      </c>
      <c r="C11" s="145" t="s">
        <v>204</v>
      </c>
      <c r="D11" s="146">
        <v>1</v>
      </c>
      <c r="E11" s="147">
        <f>'M.O. COLETA'!E118</f>
        <v>0</v>
      </c>
      <c r="F11" s="147">
        <f>D11*E11</f>
        <v>0</v>
      </c>
      <c r="G11" s="148">
        <f>F11*(1+$H$5)</f>
        <v>0</v>
      </c>
      <c r="H11" s="149">
        <f>SUM(G11*12)</f>
        <v>0</v>
      </c>
    </row>
    <row r="12" spans="1:9" ht="21.75" thickBot="1">
      <c r="A12" s="1073" t="s">
        <v>62</v>
      </c>
      <c r="B12" s="1074"/>
      <c r="C12" s="1074"/>
      <c r="D12" s="1074"/>
      <c r="E12" s="1074"/>
      <c r="F12" s="1075"/>
      <c r="G12" s="150" t="e">
        <f>SUM(G10:G11)</f>
        <v>#DIV/0!</v>
      </c>
      <c r="H12" s="151" t="e">
        <f>SUM(H10:H11)</f>
        <v>#DIV/0!</v>
      </c>
    </row>
    <row r="16" spans="1:9">
      <c r="E16" s="16"/>
      <c r="F16" s="16"/>
    </row>
    <row r="17" spans="5:6">
      <c r="E17" s="16"/>
      <c r="F17" s="16"/>
    </row>
  </sheetData>
  <sheetProtection algorithmName="SHA-512" hashValue="VCoZnSbyVULB+PEbYFEWcTEFwdLV8xsR0wo0SvR1sNehPPDkq8063oEb3InilTecfNTER+1R/jGZfgowG5b2dA==" saltValue="AdzTcAO6HkqCtub0wq98HQ==" spinCount="100000" sheet="1" objects="1" scenarios="1"/>
  <protectedRanges>
    <protectedRange sqref="M6:O6 U6:W6 AC6:AE6 AK6:AM6 AS6:AU6 BA6:BC6 BI6:BK6 BQ6:BS6 BY6:CA6 CG6:CI6 CO6:CQ6 CW6:CY6 DE6:DG6 DM6:DO6 DU6:DW6 EC6:EE6 EK6:EM6 ES6:EU6 FA6:FC6 FI6:FK6 FQ6:FS6 FY6:GA6 GG6:GI6 GO6:GQ6 GW6:GY6 HE6:HG6 HM6:HO6 HU6:HW6 IC6:IE6 IK6:IM6 IS6:IU6 JA6:JC6 JI6:JK6 JQ6:JS6 JY6:KA6 KG6:KI6 KO6:KQ6 KW6:KY6 LE6:LG6 LM6:LO6 LU6:LW6 MC6:ME6 MK6:MM6 MS6:MU6 NA6:NC6 NI6:NK6 NQ6:NS6 NY6:OA6 OG6:OI6 OO6:OQ6 OW6:OY6 PE6:PG6 PM6:PO6 PU6:PW6 QC6:QE6 QK6:QM6 QS6:QU6 RA6:RC6 RI6:RK6 RQ6:RS6 RY6:SA6 SG6:SI6 SO6:SQ6 SW6:SY6 TE6:TG6 TM6:TO6 TU6:TW6 UC6:UE6 UK6:UM6 US6:UU6 VA6:VC6 VI6:VK6 VQ6:VS6 VY6:WA6 WG6:WI6 WO6:WQ6 WW6:WY6 XE6:XG6 XM6:XO6 XU6:XW6 YC6:YE6 YK6:YM6 YS6:YU6 ZA6:ZC6 ZI6:ZK6 ZQ6:ZS6 ZY6:AAA6 AAG6:AAI6 AAO6:AAQ6 AAW6:AAY6 ABE6:ABG6 ABM6:ABO6 ABU6:ABW6 ACC6:ACE6 ACK6:ACM6 ACS6:ACU6 ADA6:ADC6 ADI6:ADK6 ADQ6:ADS6 ADY6:AEA6 AEG6:AEI6 AEO6:AEQ6 AEW6:AEY6 AFE6:AFG6 AFM6:AFO6 AFU6:AFW6 AGC6:AGE6 AGK6:AGM6 AGS6:AGU6 AHA6:AHC6 AHI6:AHK6 AHQ6:AHS6 AHY6:AIA6 AIG6:AII6 AIO6:AIQ6 AIW6:AIY6 AJE6:AJG6 AJM6:AJO6 AJU6:AJW6 AKC6:AKE6 AKK6:AKM6 AKS6:AKU6 ALA6:ALC6 ALI6:ALK6 ALQ6:ALS6 ALY6:AMA6 AMG6:AMI6 AMO6:AMQ6 AMW6:AMY6 ANE6:ANG6 ANM6:ANO6 ANU6:ANW6 AOC6:AOE6 AOK6:AOM6 AOS6:AOU6 APA6:APC6 API6:APK6 APQ6:APS6 APY6:AQA6 AQG6:AQI6 AQO6:AQQ6 AQW6:AQY6 ARE6:ARG6 ARM6:ARO6 ARU6:ARW6 ASC6:ASE6 ASK6:ASM6 ASS6:ASU6 ATA6:ATC6 ATI6:ATK6 ATQ6:ATS6 ATY6:AUA6 AUG6:AUI6 AUO6:AUQ6 AUW6:AUY6 AVE6:AVG6 AVM6:AVO6 AVU6:AVW6 AWC6:AWE6 AWK6:AWM6 AWS6:AWU6 AXA6:AXC6 AXI6:AXK6 AXQ6:AXS6 AXY6:AYA6 AYG6:AYI6 AYO6:AYQ6 AYW6:AYY6 AZE6:AZG6 AZM6:AZO6 AZU6:AZW6 BAC6:BAE6 BAK6:BAM6 BAS6:BAU6 BBA6:BBC6 BBI6:BBK6 BBQ6:BBS6 BBY6:BCA6 BCG6:BCI6 BCO6:BCQ6 BCW6:BCY6 BDE6:BDG6 BDM6:BDO6 BDU6:BDW6 BEC6:BEE6 BEK6:BEM6 BES6:BEU6 BFA6:BFC6 BFI6:BFK6 BFQ6:BFS6 BFY6:BGA6 BGG6:BGI6 BGO6:BGQ6 BGW6:BGY6 BHE6:BHG6 BHM6:BHO6 BHU6:BHW6 BIC6:BIE6 BIK6:BIM6 BIS6:BIU6 BJA6:BJC6 BJI6:BJK6 BJQ6:BJS6 BJY6:BKA6 BKG6:BKI6 BKO6:BKQ6 BKW6:BKY6 BLE6:BLG6 BLM6:BLO6 BLU6:BLW6 BMC6:BME6 BMK6:BMM6 BMS6:BMU6 BNA6:BNC6 BNI6:BNK6 BNQ6:BNS6 BNY6:BOA6 BOG6:BOI6 BOO6:BOQ6 BOW6:BOY6 BPE6:BPG6 BPM6:BPO6 BPU6:BPW6 BQC6:BQE6 BQK6:BQM6 BQS6:BQU6 BRA6:BRC6 BRI6:BRK6 BRQ6:BRS6 BRY6:BSA6 BSG6:BSI6 BSO6:BSQ6 BSW6:BSY6 BTE6:BTG6 BTM6:BTO6 BTU6:BTW6 BUC6:BUE6 BUK6:BUM6 BUS6:BUU6 BVA6:BVC6 BVI6:BVK6 BVQ6:BVS6 BVY6:BWA6 BWG6:BWI6 BWO6:BWQ6 BWW6:BWY6 BXE6:BXG6 BXM6:BXO6 BXU6:BXW6 BYC6:BYE6 BYK6:BYM6 BYS6:BYU6 BZA6:BZC6 BZI6:BZK6 BZQ6:BZS6 BZY6:CAA6 CAG6:CAI6 CAO6:CAQ6 CAW6:CAY6 CBE6:CBG6 CBM6:CBO6 CBU6:CBW6 CCC6:CCE6 CCK6:CCM6 CCS6:CCU6 CDA6:CDC6 CDI6:CDK6 CDQ6:CDS6 CDY6:CEA6 CEG6:CEI6 CEO6:CEQ6 CEW6:CEY6 CFE6:CFG6 CFM6:CFO6 CFU6:CFW6 CGC6:CGE6 CGK6:CGM6 CGS6:CGU6 CHA6:CHC6 CHI6:CHK6 CHQ6:CHS6 CHY6:CIA6 CIG6:CII6 CIO6:CIQ6 CIW6:CIY6 CJE6:CJG6 CJM6:CJO6 CJU6:CJW6 CKC6:CKE6 CKK6:CKM6 CKS6:CKU6 CLA6:CLC6 CLI6:CLK6 CLQ6:CLS6 CLY6:CMA6 CMG6:CMI6 CMO6:CMQ6 CMW6:CMY6 CNE6:CNG6 CNM6:CNO6 CNU6:CNW6 COC6:COE6 COK6:COM6 COS6:COU6 CPA6:CPC6 CPI6:CPK6 CPQ6:CPS6 CPY6:CQA6 CQG6:CQI6 CQO6:CQQ6 CQW6:CQY6 CRE6:CRG6 CRM6:CRO6 CRU6:CRW6 CSC6:CSE6 CSK6:CSM6 CSS6:CSU6 CTA6:CTC6 CTI6:CTK6 CTQ6:CTS6 CTY6:CUA6 CUG6:CUI6 CUO6:CUQ6 CUW6:CUY6 CVE6:CVG6 CVM6:CVO6 CVU6:CVW6 CWC6:CWE6 CWK6:CWM6 CWS6:CWU6 CXA6:CXC6 CXI6:CXK6 CXQ6:CXS6 CXY6:CYA6 CYG6:CYI6 CYO6:CYQ6 CYW6:CYY6 CZE6:CZG6 CZM6:CZO6 CZU6:CZW6 DAC6:DAE6 DAK6:DAM6 DAS6:DAU6 DBA6:DBC6 DBI6:DBK6 DBQ6:DBS6 DBY6:DCA6 DCG6:DCI6 DCO6:DCQ6 DCW6:DCY6 DDE6:DDG6 DDM6:DDO6 DDU6:DDW6 DEC6:DEE6 DEK6:DEM6 DES6:DEU6 DFA6:DFC6 DFI6:DFK6 DFQ6:DFS6 DFY6:DGA6 DGG6:DGI6 DGO6:DGQ6 DGW6:DGY6 DHE6:DHG6 DHM6:DHO6 DHU6:DHW6 DIC6:DIE6 DIK6:DIM6 DIS6:DIU6 DJA6:DJC6 DJI6:DJK6 DJQ6:DJS6 DJY6:DKA6 DKG6:DKI6 DKO6:DKQ6 DKW6:DKY6 DLE6:DLG6 DLM6:DLO6 DLU6:DLW6 DMC6:DME6 DMK6:DMM6 DMS6:DMU6 DNA6:DNC6 DNI6:DNK6 DNQ6:DNS6 DNY6:DOA6 DOG6:DOI6 DOO6:DOQ6 DOW6:DOY6 DPE6:DPG6 DPM6:DPO6 DPU6:DPW6 DQC6:DQE6 DQK6:DQM6 DQS6:DQU6 DRA6:DRC6 DRI6:DRK6 DRQ6:DRS6 DRY6:DSA6 DSG6:DSI6 DSO6:DSQ6 DSW6:DSY6 DTE6:DTG6 DTM6:DTO6 DTU6:DTW6 DUC6:DUE6 DUK6:DUM6 DUS6:DUU6 DVA6:DVC6 DVI6:DVK6 DVQ6:DVS6 DVY6:DWA6 DWG6:DWI6 DWO6:DWQ6 DWW6:DWY6 DXE6:DXG6 DXM6:DXO6 DXU6:DXW6 DYC6:DYE6 DYK6:DYM6 DYS6:DYU6 DZA6:DZC6 DZI6:DZK6 DZQ6:DZS6 DZY6:EAA6 EAG6:EAI6 EAO6:EAQ6 EAW6:EAY6 EBE6:EBG6 EBM6:EBO6 EBU6:EBW6 ECC6:ECE6 ECK6:ECM6 ECS6:ECU6 EDA6:EDC6 EDI6:EDK6 EDQ6:EDS6 EDY6:EEA6 EEG6:EEI6 EEO6:EEQ6 EEW6:EEY6 EFE6:EFG6 EFM6:EFO6 EFU6:EFW6 EGC6:EGE6 EGK6:EGM6 EGS6:EGU6 EHA6:EHC6 EHI6:EHK6 EHQ6:EHS6 EHY6:EIA6 EIG6:EII6 EIO6:EIQ6 EIW6:EIY6 EJE6:EJG6 EJM6:EJO6 EJU6:EJW6 EKC6:EKE6 EKK6:EKM6 EKS6:EKU6 ELA6:ELC6 ELI6:ELK6 ELQ6:ELS6 ELY6:EMA6 EMG6:EMI6 EMO6:EMQ6 EMW6:EMY6 ENE6:ENG6 ENM6:ENO6 ENU6:ENW6 EOC6:EOE6 EOK6:EOM6 EOS6:EOU6 EPA6:EPC6 EPI6:EPK6 EPQ6:EPS6 EPY6:EQA6 EQG6:EQI6 EQO6:EQQ6 EQW6:EQY6 ERE6:ERG6 ERM6:ERO6 ERU6:ERW6 ESC6:ESE6 ESK6:ESM6 ESS6:ESU6 ETA6:ETC6 ETI6:ETK6 ETQ6:ETS6 ETY6:EUA6 EUG6:EUI6 EUO6:EUQ6 EUW6:EUY6 EVE6:EVG6 EVM6:EVO6 EVU6:EVW6 EWC6:EWE6 EWK6:EWM6 EWS6:EWU6 EXA6:EXC6 EXI6:EXK6 EXQ6:EXS6 EXY6:EYA6 EYG6:EYI6 EYO6:EYQ6 EYW6:EYY6 EZE6:EZG6 EZM6:EZO6 EZU6:EZW6 FAC6:FAE6 FAK6:FAM6 FAS6:FAU6 FBA6:FBC6 FBI6:FBK6 FBQ6:FBS6 FBY6:FCA6 FCG6:FCI6 FCO6:FCQ6 FCW6:FCY6 FDE6:FDG6 FDM6:FDO6 FDU6:FDW6 FEC6:FEE6 FEK6:FEM6 FES6:FEU6 FFA6:FFC6 FFI6:FFK6 FFQ6:FFS6 FFY6:FGA6 FGG6:FGI6 FGO6:FGQ6 FGW6:FGY6 FHE6:FHG6 FHM6:FHO6 FHU6:FHW6 FIC6:FIE6 FIK6:FIM6 FIS6:FIU6 FJA6:FJC6 FJI6:FJK6 FJQ6:FJS6 FJY6:FKA6 FKG6:FKI6 FKO6:FKQ6 FKW6:FKY6 FLE6:FLG6 FLM6:FLO6 FLU6:FLW6 FMC6:FME6 FMK6:FMM6 FMS6:FMU6 FNA6:FNC6 FNI6:FNK6 FNQ6:FNS6 FNY6:FOA6 FOG6:FOI6 FOO6:FOQ6 FOW6:FOY6 FPE6:FPG6 FPM6:FPO6 FPU6:FPW6 FQC6:FQE6 FQK6:FQM6 FQS6:FQU6 FRA6:FRC6 FRI6:FRK6 FRQ6:FRS6 FRY6:FSA6 FSG6:FSI6 FSO6:FSQ6 FSW6:FSY6 FTE6:FTG6 FTM6:FTO6 FTU6:FTW6 FUC6:FUE6 FUK6:FUM6 FUS6:FUU6 FVA6:FVC6 FVI6:FVK6 FVQ6:FVS6 FVY6:FWA6 FWG6:FWI6 FWO6:FWQ6 FWW6:FWY6 FXE6:FXG6 FXM6:FXO6 FXU6:FXW6 FYC6:FYE6 FYK6:FYM6 FYS6:FYU6 FZA6:FZC6 FZI6:FZK6 FZQ6:FZS6 FZY6:GAA6 GAG6:GAI6 GAO6:GAQ6 GAW6:GAY6 GBE6:GBG6 GBM6:GBO6 GBU6:GBW6 GCC6:GCE6 GCK6:GCM6 GCS6:GCU6 GDA6:GDC6 GDI6:GDK6 GDQ6:GDS6 GDY6:GEA6 GEG6:GEI6 GEO6:GEQ6 GEW6:GEY6 GFE6:GFG6 GFM6:GFO6 GFU6:GFW6 GGC6:GGE6 GGK6:GGM6 GGS6:GGU6 GHA6:GHC6 GHI6:GHK6 GHQ6:GHS6 GHY6:GIA6 GIG6:GII6 GIO6:GIQ6 GIW6:GIY6 GJE6:GJG6 GJM6:GJO6 GJU6:GJW6 GKC6:GKE6 GKK6:GKM6 GKS6:GKU6 GLA6:GLC6 GLI6:GLK6 GLQ6:GLS6 GLY6:GMA6 GMG6:GMI6 GMO6:GMQ6 GMW6:GMY6 GNE6:GNG6 GNM6:GNO6 GNU6:GNW6 GOC6:GOE6 GOK6:GOM6 GOS6:GOU6 GPA6:GPC6 GPI6:GPK6 GPQ6:GPS6 GPY6:GQA6 GQG6:GQI6 GQO6:GQQ6 GQW6:GQY6 GRE6:GRG6 GRM6:GRO6 GRU6:GRW6 GSC6:GSE6 GSK6:GSM6 GSS6:GSU6 GTA6:GTC6 GTI6:GTK6 GTQ6:GTS6 GTY6:GUA6 GUG6:GUI6 GUO6:GUQ6 GUW6:GUY6 GVE6:GVG6 GVM6:GVO6 GVU6:GVW6 GWC6:GWE6 GWK6:GWM6 GWS6:GWU6 GXA6:GXC6 GXI6:GXK6 GXQ6:GXS6 GXY6:GYA6 GYG6:GYI6 GYO6:GYQ6 GYW6:GYY6 GZE6:GZG6 GZM6:GZO6 GZU6:GZW6 HAC6:HAE6 HAK6:HAM6 HAS6:HAU6 HBA6:HBC6 HBI6:HBK6 HBQ6:HBS6 HBY6:HCA6 HCG6:HCI6 HCO6:HCQ6 HCW6:HCY6 HDE6:HDG6 HDM6:HDO6 HDU6:HDW6 HEC6:HEE6 HEK6:HEM6 HES6:HEU6 HFA6:HFC6 HFI6:HFK6 HFQ6:HFS6 HFY6:HGA6 HGG6:HGI6 HGO6:HGQ6 HGW6:HGY6 HHE6:HHG6 HHM6:HHO6 HHU6:HHW6 HIC6:HIE6 HIK6:HIM6 HIS6:HIU6 HJA6:HJC6 HJI6:HJK6 HJQ6:HJS6 HJY6:HKA6 HKG6:HKI6 HKO6:HKQ6 HKW6:HKY6 HLE6:HLG6 HLM6:HLO6 HLU6:HLW6 HMC6:HME6 HMK6:HMM6 HMS6:HMU6 HNA6:HNC6 HNI6:HNK6 HNQ6:HNS6 HNY6:HOA6 HOG6:HOI6 HOO6:HOQ6 HOW6:HOY6 HPE6:HPG6 HPM6:HPO6 HPU6:HPW6 HQC6:HQE6 HQK6:HQM6 HQS6:HQU6 HRA6:HRC6 HRI6:HRK6 HRQ6:HRS6 HRY6:HSA6 HSG6:HSI6 HSO6:HSQ6 HSW6:HSY6 HTE6:HTG6 HTM6:HTO6 HTU6:HTW6 HUC6:HUE6 HUK6:HUM6 HUS6:HUU6 HVA6:HVC6 HVI6:HVK6 HVQ6:HVS6 HVY6:HWA6 HWG6:HWI6 HWO6:HWQ6 HWW6:HWY6 HXE6:HXG6 HXM6:HXO6 HXU6:HXW6 HYC6:HYE6 HYK6:HYM6 HYS6:HYU6 HZA6:HZC6 HZI6:HZK6 HZQ6:HZS6 HZY6:IAA6 IAG6:IAI6 IAO6:IAQ6 IAW6:IAY6 IBE6:IBG6 IBM6:IBO6 IBU6:IBW6 ICC6:ICE6 ICK6:ICM6 ICS6:ICU6 IDA6:IDC6 IDI6:IDK6 IDQ6:IDS6 IDY6:IEA6 IEG6:IEI6 IEO6:IEQ6 IEW6:IEY6 IFE6:IFG6 IFM6:IFO6 IFU6:IFW6 IGC6:IGE6 IGK6:IGM6 IGS6:IGU6 IHA6:IHC6 IHI6:IHK6 IHQ6:IHS6 IHY6:IIA6 IIG6:III6 IIO6:IIQ6 IIW6:IIY6 IJE6:IJG6 IJM6:IJO6 IJU6:IJW6 IKC6:IKE6 IKK6:IKM6 IKS6:IKU6 ILA6:ILC6 ILI6:ILK6 ILQ6:ILS6 ILY6:IMA6 IMG6:IMI6 IMO6:IMQ6 IMW6:IMY6 INE6:ING6 INM6:INO6 INU6:INW6 IOC6:IOE6 IOK6:IOM6 IOS6:IOU6 IPA6:IPC6 IPI6:IPK6 IPQ6:IPS6 IPY6:IQA6 IQG6:IQI6 IQO6:IQQ6 IQW6:IQY6 IRE6:IRG6 IRM6:IRO6 IRU6:IRW6 ISC6:ISE6 ISK6:ISM6 ISS6:ISU6 ITA6:ITC6 ITI6:ITK6 ITQ6:ITS6 ITY6:IUA6 IUG6:IUI6 IUO6:IUQ6 IUW6:IUY6 IVE6:IVG6 IVM6:IVO6 IVU6:IVW6 IWC6:IWE6 IWK6:IWM6 IWS6:IWU6 IXA6:IXC6 IXI6:IXK6 IXQ6:IXS6 IXY6:IYA6 IYG6:IYI6 IYO6:IYQ6 IYW6:IYY6 IZE6:IZG6 IZM6:IZO6 IZU6:IZW6 JAC6:JAE6 JAK6:JAM6 JAS6:JAU6 JBA6:JBC6 JBI6:JBK6 JBQ6:JBS6 JBY6:JCA6 JCG6:JCI6 JCO6:JCQ6 JCW6:JCY6 JDE6:JDG6 JDM6:JDO6 JDU6:JDW6 JEC6:JEE6 JEK6:JEM6 JES6:JEU6 JFA6:JFC6 JFI6:JFK6 JFQ6:JFS6 JFY6:JGA6 JGG6:JGI6 JGO6:JGQ6 JGW6:JGY6 JHE6:JHG6 JHM6:JHO6 JHU6:JHW6 JIC6:JIE6 JIK6:JIM6 JIS6:JIU6 JJA6:JJC6 JJI6:JJK6 JJQ6:JJS6 JJY6:JKA6 JKG6:JKI6 JKO6:JKQ6 JKW6:JKY6 JLE6:JLG6 JLM6:JLO6 JLU6:JLW6 JMC6:JME6 JMK6:JMM6 JMS6:JMU6 JNA6:JNC6 JNI6:JNK6 JNQ6:JNS6 JNY6:JOA6 JOG6:JOI6 JOO6:JOQ6 JOW6:JOY6 JPE6:JPG6 JPM6:JPO6 JPU6:JPW6 JQC6:JQE6 JQK6:JQM6 JQS6:JQU6 JRA6:JRC6 JRI6:JRK6 JRQ6:JRS6 JRY6:JSA6 JSG6:JSI6 JSO6:JSQ6 JSW6:JSY6 JTE6:JTG6 JTM6:JTO6 JTU6:JTW6 JUC6:JUE6 JUK6:JUM6 JUS6:JUU6 JVA6:JVC6 JVI6:JVK6 JVQ6:JVS6 JVY6:JWA6 JWG6:JWI6 JWO6:JWQ6 JWW6:JWY6 JXE6:JXG6 JXM6:JXO6 JXU6:JXW6 JYC6:JYE6 JYK6:JYM6 JYS6:JYU6 JZA6:JZC6 JZI6:JZK6 JZQ6:JZS6 JZY6:KAA6 KAG6:KAI6 KAO6:KAQ6 KAW6:KAY6 KBE6:KBG6 KBM6:KBO6 KBU6:KBW6 KCC6:KCE6 KCK6:KCM6 KCS6:KCU6 KDA6:KDC6 KDI6:KDK6 KDQ6:KDS6 KDY6:KEA6 KEG6:KEI6 KEO6:KEQ6 KEW6:KEY6 KFE6:KFG6 KFM6:KFO6 KFU6:KFW6 KGC6:KGE6 KGK6:KGM6 KGS6:KGU6 KHA6:KHC6 KHI6:KHK6 KHQ6:KHS6 KHY6:KIA6 KIG6:KII6 KIO6:KIQ6 KIW6:KIY6 KJE6:KJG6 KJM6:KJO6 KJU6:KJW6 KKC6:KKE6 KKK6:KKM6 KKS6:KKU6 KLA6:KLC6 KLI6:KLK6 KLQ6:KLS6 KLY6:KMA6 KMG6:KMI6 KMO6:KMQ6 KMW6:KMY6 KNE6:KNG6 KNM6:KNO6 KNU6:KNW6 KOC6:KOE6 KOK6:KOM6 KOS6:KOU6 KPA6:KPC6 KPI6:KPK6 KPQ6:KPS6 KPY6:KQA6 KQG6:KQI6 KQO6:KQQ6 KQW6:KQY6 KRE6:KRG6 KRM6:KRO6 KRU6:KRW6 KSC6:KSE6 KSK6:KSM6 KSS6:KSU6 KTA6:KTC6 KTI6:KTK6 KTQ6:KTS6 KTY6:KUA6 KUG6:KUI6 KUO6:KUQ6 KUW6:KUY6 KVE6:KVG6 KVM6:KVO6 KVU6:KVW6 KWC6:KWE6 KWK6:KWM6 KWS6:KWU6 KXA6:KXC6 KXI6:KXK6 KXQ6:KXS6 KXY6:KYA6 KYG6:KYI6 KYO6:KYQ6 KYW6:KYY6 KZE6:KZG6 KZM6:KZO6 KZU6:KZW6 LAC6:LAE6 LAK6:LAM6 LAS6:LAU6 LBA6:LBC6 LBI6:LBK6 LBQ6:LBS6 LBY6:LCA6 LCG6:LCI6 LCO6:LCQ6 LCW6:LCY6 LDE6:LDG6 LDM6:LDO6 LDU6:LDW6 LEC6:LEE6 LEK6:LEM6 LES6:LEU6 LFA6:LFC6 LFI6:LFK6 LFQ6:LFS6 LFY6:LGA6 LGG6:LGI6 LGO6:LGQ6 LGW6:LGY6 LHE6:LHG6 LHM6:LHO6 LHU6:LHW6 LIC6:LIE6 LIK6:LIM6 LIS6:LIU6 LJA6:LJC6 LJI6:LJK6 LJQ6:LJS6 LJY6:LKA6 LKG6:LKI6 LKO6:LKQ6 LKW6:LKY6 LLE6:LLG6 LLM6:LLO6 LLU6:LLW6 LMC6:LME6 LMK6:LMM6 LMS6:LMU6 LNA6:LNC6 LNI6:LNK6 LNQ6:LNS6 LNY6:LOA6 LOG6:LOI6 LOO6:LOQ6 LOW6:LOY6 LPE6:LPG6 LPM6:LPO6 LPU6:LPW6 LQC6:LQE6 LQK6:LQM6 LQS6:LQU6 LRA6:LRC6 LRI6:LRK6 LRQ6:LRS6 LRY6:LSA6 LSG6:LSI6 LSO6:LSQ6 LSW6:LSY6 LTE6:LTG6 LTM6:LTO6 LTU6:LTW6 LUC6:LUE6 LUK6:LUM6 LUS6:LUU6 LVA6:LVC6 LVI6:LVK6 LVQ6:LVS6 LVY6:LWA6 LWG6:LWI6 LWO6:LWQ6 LWW6:LWY6 LXE6:LXG6 LXM6:LXO6 LXU6:LXW6 LYC6:LYE6 LYK6:LYM6 LYS6:LYU6 LZA6:LZC6 LZI6:LZK6 LZQ6:LZS6 LZY6:MAA6 MAG6:MAI6 MAO6:MAQ6 MAW6:MAY6 MBE6:MBG6 MBM6:MBO6 MBU6:MBW6 MCC6:MCE6 MCK6:MCM6 MCS6:MCU6 MDA6:MDC6 MDI6:MDK6 MDQ6:MDS6 MDY6:MEA6 MEG6:MEI6 MEO6:MEQ6 MEW6:MEY6 MFE6:MFG6 MFM6:MFO6 MFU6:MFW6 MGC6:MGE6 MGK6:MGM6 MGS6:MGU6 MHA6:MHC6 MHI6:MHK6 MHQ6:MHS6 MHY6:MIA6 MIG6:MII6 MIO6:MIQ6 MIW6:MIY6 MJE6:MJG6 MJM6:MJO6 MJU6:MJW6 MKC6:MKE6 MKK6:MKM6 MKS6:MKU6 MLA6:MLC6 MLI6:MLK6 MLQ6:MLS6 MLY6:MMA6 MMG6:MMI6 MMO6:MMQ6 MMW6:MMY6 MNE6:MNG6 MNM6:MNO6 MNU6:MNW6 MOC6:MOE6 MOK6:MOM6 MOS6:MOU6 MPA6:MPC6 MPI6:MPK6 MPQ6:MPS6 MPY6:MQA6 MQG6:MQI6 MQO6:MQQ6 MQW6:MQY6 MRE6:MRG6 MRM6:MRO6 MRU6:MRW6 MSC6:MSE6 MSK6:MSM6 MSS6:MSU6 MTA6:MTC6 MTI6:MTK6 MTQ6:MTS6 MTY6:MUA6 MUG6:MUI6 MUO6:MUQ6 MUW6:MUY6 MVE6:MVG6 MVM6:MVO6 MVU6:MVW6 MWC6:MWE6 MWK6:MWM6 MWS6:MWU6 MXA6:MXC6 MXI6:MXK6 MXQ6:MXS6 MXY6:MYA6 MYG6:MYI6 MYO6:MYQ6 MYW6:MYY6 MZE6:MZG6 MZM6:MZO6 MZU6:MZW6 NAC6:NAE6 NAK6:NAM6 NAS6:NAU6 NBA6:NBC6 NBI6:NBK6 NBQ6:NBS6 NBY6:NCA6 NCG6:NCI6 NCO6:NCQ6 NCW6:NCY6 NDE6:NDG6 NDM6:NDO6 NDU6:NDW6 NEC6:NEE6 NEK6:NEM6 NES6:NEU6 NFA6:NFC6 NFI6:NFK6 NFQ6:NFS6 NFY6:NGA6 NGG6:NGI6 NGO6:NGQ6 NGW6:NGY6 NHE6:NHG6 NHM6:NHO6 NHU6:NHW6 NIC6:NIE6 NIK6:NIM6 NIS6:NIU6 NJA6:NJC6 NJI6:NJK6 NJQ6:NJS6 NJY6:NKA6 NKG6:NKI6 NKO6:NKQ6 NKW6:NKY6 NLE6:NLG6 NLM6:NLO6 NLU6:NLW6 NMC6:NME6 NMK6:NMM6 NMS6:NMU6 NNA6:NNC6 NNI6:NNK6 NNQ6:NNS6 NNY6:NOA6 NOG6:NOI6 NOO6:NOQ6 NOW6:NOY6 NPE6:NPG6 NPM6:NPO6 NPU6:NPW6 NQC6:NQE6 NQK6:NQM6 NQS6:NQU6 NRA6:NRC6 NRI6:NRK6 NRQ6:NRS6 NRY6:NSA6 NSG6:NSI6 NSO6:NSQ6 NSW6:NSY6 NTE6:NTG6 NTM6:NTO6 NTU6:NTW6 NUC6:NUE6 NUK6:NUM6 NUS6:NUU6 NVA6:NVC6 NVI6:NVK6 NVQ6:NVS6 NVY6:NWA6 NWG6:NWI6 NWO6:NWQ6 NWW6:NWY6 NXE6:NXG6 NXM6:NXO6 NXU6:NXW6 NYC6:NYE6 NYK6:NYM6 NYS6:NYU6 NZA6:NZC6 NZI6:NZK6 NZQ6:NZS6 NZY6:OAA6 OAG6:OAI6 OAO6:OAQ6 OAW6:OAY6 OBE6:OBG6 OBM6:OBO6 OBU6:OBW6 OCC6:OCE6 OCK6:OCM6 OCS6:OCU6 ODA6:ODC6 ODI6:ODK6 ODQ6:ODS6 ODY6:OEA6 OEG6:OEI6 OEO6:OEQ6 OEW6:OEY6 OFE6:OFG6 OFM6:OFO6 OFU6:OFW6 OGC6:OGE6 OGK6:OGM6 OGS6:OGU6 OHA6:OHC6 OHI6:OHK6 OHQ6:OHS6 OHY6:OIA6 OIG6:OII6 OIO6:OIQ6 OIW6:OIY6 OJE6:OJG6 OJM6:OJO6 OJU6:OJW6 OKC6:OKE6 OKK6:OKM6 OKS6:OKU6 OLA6:OLC6 OLI6:OLK6 OLQ6:OLS6 OLY6:OMA6 OMG6:OMI6 OMO6:OMQ6 OMW6:OMY6 ONE6:ONG6 ONM6:ONO6 ONU6:ONW6 OOC6:OOE6 OOK6:OOM6 OOS6:OOU6 OPA6:OPC6 OPI6:OPK6 OPQ6:OPS6 OPY6:OQA6 OQG6:OQI6 OQO6:OQQ6 OQW6:OQY6 ORE6:ORG6 ORM6:ORO6 ORU6:ORW6 OSC6:OSE6 OSK6:OSM6 OSS6:OSU6 OTA6:OTC6 OTI6:OTK6 OTQ6:OTS6 OTY6:OUA6 OUG6:OUI6 OUO6:OUQ6 OUW6:OUY6 OVE6:OVG6 OVM6:OVO6 OVU6:OVW6 OWC6:OWE6 OWK6:OWM6 OWS6:OWU6 OXA6:OXC6 OXI6:OXK6 OXQ6:OXS6 OXY6:OYA6 OYG6:OYI6 OYO6:OYQ6 OYW6:OYY6 OZE6:OZG6 OZM6:OZO6 OZU6:OZW6 PAC6:PAE6 PAK6:PAM6 PAS6:PAU6 PBA6:PBC6 PBI6:PBK6 PBQ6:PBS6 PBY6:PCA6 PCG6:PCI6 PCO6:PCQ6 PCW6:PCY6 PDE6:PDG6 PDM6:PDO6 PDU6:PDW6 PEC6:PEE6 PEK6:PEM6 PES6:PEU6 PFA6:PFC6 PFI6:PFK6 PFQ6:PFS6 PFY6:PGA6 PGG6:PGI6 PGO6:PGQ6 PGW6:PGY6 PHE6:PHG6 PHM6:PHO6 PHU6:PHW6 PIC6:PIE6 PIK6:PIM6 PIS6:PIU6 PJA6:PJC6 PJI6:PJK6 PJQ6:PJS6 PJY6:PKA6 PKG6:PKI6 PKO6:PKQ6 PKW6:PKY6 PLE6:PLG6 PLM6:PLO6 PLU6:PLW6 PMC6:PME6 PMK6:PMM6 PMS6:PMU6 PNA6:PNC6 PNI6:PNK6 PNQ6:PNS6 PNY6:POA6 POG6:POI6 POO6:POQ6 POW6:POY6 PPE6:PPG6 PPM6:PPO6 PPU6:PPW6 PQC6:PQE6 PQK6:PQM6 PQS6:PQU6 PRA6:PRC6 PRI6:PRK6 PRQ6:PRS6 PRY6:PSA6 PSG6:PSI6 PSO6:PSQ6 PSW6:PSY6 PTE6:PTG6 PTM6:PTO6 PTU6:PTW6 PUC6:PUE6 PUK6:PUM6 PUS6:PUU6 PVA6:PVC6 PVI6:PVK6 PVQ6:PVS6 PVY6:PWA6 PWG6:PWI6 PWO6:PWQ6 PWW6:PWY6 PXE6:PXG6 PXM6:PXO6 PXU6:PXW6 PYC6:PYE6 PYK6:PYM6 PYS6:PYU6 PZA6:PZC6 PZI6:PZK6 PZQ6:PZS6 PZY6:QAA6 QAG6:QAI6 QAO6:QAQ6 QAW6:QAY6 QBE6:QBG6 QBM6:QBO6 QBU6:QBW6 QCC6:QCE6 QCK6:QCM6 QCS6:QCU6 QDA6:QDC6 QDI6:QDK6 QDQ6:QDS6 QDY6:QEA6 QEG6:QEI6 QEO6:QEQ6 QEW6:QEY6 QFE6:QFG6 QFM6:QFO6 QFU6:QFW6 QGC6:QGE6 QGK6:QGM6 QGS6:QGU6 QHA6:QHC6 QHI6:QHK6 QHQ6:QHS6 QHY6:QIA6 QIG6:QII6 QIO6:QIQ6 QIW6:QIY6 QJE6:QJG6 QJM6:QJO6 QJU6:QJW6 QKC6:QKE6 QKK6:QKM6 QKS6:QKU6 QLA6:QLC6 QLI6:QLK6 QLQ6:QLS6 QLY6:QMA6 QMG6:QMI6 QMO6:QMQ6 QMW6:QMY6 QNE6:QNG6 QNM6:QNO6 QNU6:QNW6 QOC6:QOE6 QOK6:QOM6 QOS6:QOU6 QPA6:QPC6 QPI6:QPK6 QPQ6:QPS6 QPY6:QQA6 QQG6:QQI6 QQO6:QQQ6 QQW6:QQY6 QRE6:QRG6 QRM6:QRO6 QRU6:QRW6 QSC6:QSE6 QSK6:QSM6 QSS6:QSU6 QTA6:QTC6 QTI6:QTK6 QTQ6:QTS6 QTY6:QUA6 QUG6:QUI6 QUO6:QUQ6 QUW6:QUY6 QVE6:QVG6 QVM6:QVO6 QVU6:QVW6 QWC6:QWE6 QWK6:QWM6 QWS6:QWU6 QXA6:QXC6 QXI6:QXK6 QXQ6:QXS6 QXY6:QYA6 QYG6:QYI6 QYO6:QYQ6 QYW6:QYY6 QZE6:QZG6 QZM6:QZO6 QZU6:QZW6 RAC6:RAE6 RAK6:RAM6 RAS6:RAU6 RBA6:RBC6 RBI6:RBK6 RBQ6:RBS6 RBY6:RCA6 RCG6:RCI6 RCO6:RCQ6 RCW6:RCY6 RDE6:RDG6 RDM6:RDO6 RDU6:RDW6 REC6:REE6 REK6:REM6 RES6:REU6 RFA6:RFC6 RFI6:RFK6 RFQ6:RFS6 RFY6:RGA6 RGG6:RGI6 RGO6:RGQ6 RGW6:RGY6 RHE6:RHG6 RHM6:RHO6 RHU6:RHW6 RIC6:RIE6 RIK6:RIM6 RIS6:RIU6 RJA6:RJC6 RJI6:RJK6 RJQ6:RJS6 RJY6:RKA6 RKG6:RKI6 RKO6:RKQ6 RKW6:RKY6 RLE6:RLG6 RLM6:RLO6 RLU6:RLW6 RMC6:RME6 RMK6:RMM6 RMS6:RMU6 RNA6:RNC6 RNI6:RNK6 RNQ6:RNS6 RNY6:ROA6 ROG6:ROI6 ROO6:ROQ6 ROW6:ROY6 RPE6:RPG6 RPM6:RPO6 RPU6:RPW6 RQC6:RQE6 RQK6:RQM6 RQS6:RQU6 RRA6:RRC6 RRI6:RRK6 RRQ6:RRS6 RRY6:RSA6 RSG6:RSI6 RSO6:RSQ6 RSW6:RSY6 RTE6:RTG6 RTM6:RTO6 RTU6:RTW6 RUC6:RUE6 RUK6:RUM6 RUS6:RUU6 RVA6:RVC6 RVI6:RVK6 RVQ6:RVS6 RVY6:RWA6 RWG6:RWI6 RWO6:RWQ6 RWW6:RWY6 RXE6:RXG6 RXM6:RXO6 RXU6:RXW6 RYC6:RYE6 RYK6:RYM6 RYS6:RYU6 RZA6:RZC6 RZI6:RZK6 RZQ6:RZS6 RZY6:SAA6 SAG6:SAI6 SAO6:SAQ6 SAW6:SAY6 SBE6:SBG6 SBM6:SBO6 SBU6:SBW6 SCC6:SCE6 SCK6:SCM6 SCS6:SCU6 SDA6:SDC6 SDI6:SDK6 SDQ6:SDS6 SDY6:SEA6 SEG6:SEI6 SEO6:SEQ6 SEW6:SEY6 SFE6:SFG6 SFM6:SFO6 SFU6:SFW6 SGC6:SGE6 SGK6:SGM6 SGS6:SGU6 SHA6:SHC6 SHI6:SHK6 SHQ6:SHS6 SHY6:SIA6 SIG6:SII6 SIO6:SIQ6 SIW6:SIY6 SJE6:SJG6 SJM6:SJO6 SJU6:SJW6 SKC6:SKE6 SKK6:SKM6 SKS6:SKU6 SLA6:SLC6 SLI6:SLK6 SLQ6:SLS6 SLY6:SMA6 SMG6:SMI6 SMO6:SMQ6 SMW6:SMY6 SNE6:SNG6 SNM6:SNO6 SNU6:SNW6 SOC6:SOE6 SOK6:SOM6 SOS6:SOU6 SPA6:SPC6 SPI6:SPK6 SPQ6:SPS6 SPY6:SQA6 SQG6:SQI6 SQO6:SQQ6 SQW6:SQY6 SRE6:SRG6 SRM6:SRO6 SRU6:SRW6 SSC6:SSE6 SSK6:SSM6 SSS6:SSU6 STA6:STC6 STI6:STK6 STQ6:STS6 STY6:SUA6 SUG6:SUI6 SUO6:SUQ6 SUW6:SUY6 SVE6:SVG6 SVM6:SVO6 SVU6:SVW6 SWC6:SWE6 SWK6:SWM6 SWS6:SWU6 SXA6:SXC6 SXI6:SXK6 SXQ6:SXS6 SXY6:SYA6 SYG6:SYI6 SYO6:SYQ6 SYW6:SYY6 SZE6:SZG6 SZM6:SZO6 SZU6:SZW6 TAC6:TAE6 TAK6:TAM6 TAS6:TAU6 TBA6:TBC6 TBI6:TBK6 TBQ6:TBS6 TBY6:TCA6 TCG6:TCI6 TCO6:TCQ6 TCW6:TCY6 TDE6:TDG6 TDM6:TDO6 TDU6:TDW6 TEC6:TEE6 TEK6:TEM6 TES6:TEU6 TFA6:TFC6 TFI6:TFK6 TFQ6:TFS6 TFY6:TGA6 TGG6:TGI6 TGO6:TGQ6 TGW6:TGY6 THE6:THG6 THM6:THO6 THU6:THW6 TIC6:TIE6 TIK6:TIM6 TIS6:TIU6 TJA6:TJC6 TJI6:TJK6 TJQ6:TJS6 TJY6:TKA6 TKG6:TKI6 TKO6:TKQ6 TKW6:TKY6 TLE6:TLG6 TLM6:TLO6 TLU6:TLW6 TMC6:TME6 TMK6:TMM6 TMS6:TMU6 TNA6:TNC6 TNI6:TNK6 TNQ6:TNS6 TNY6:TOA6 TOG6:TOI6 TOO6:TOQ6 TOW6:TOY6 TPE6:TPG6 TPM6:TPO6 TPU6:TPW6 TQC6:TQE6 TQK6:TQM6 TQS6:TQU6 TRA6:TRC6 TRI6:TRK6 TRQ6:TRS6 TRY6:TSA6 TSG6:TSI6 TSO6:TSQ6 TSW6:TSY6 TTE6:TTG6 TTM6:TTO6 TTU6:TTW6 TUC6:TUE6 TUK6:TUM6 TUS6:TUU6 TVA6:TVC6 TVI6:TVK6 TVQ6:TVS6 TVY6:TWA6 TWG6:TWI6 TWO6:TWQ6 TWW6:TWY6 TXE6:TXG6 TXM6:TXO6 TXU6:TXW6 TYC6:TYE6 TYK6:TYM6 TYS6:TYU6 TZA6:TZC6 TZI6:TZK6 TZQ6:TZS6 TZY6:UAA6 UAG6:UAI6 UAO6:UAQ6 UAW6:UAY6 UBE6:UBG6 UBM6:UBO6 UBU6:UBW6 UCC6:UCE6 UCK6:UCM6 UCS6:UCU6 UDA6:UDC6 UDI6:UDK6 UDQ6:UDS6 UDY6:UEA6 UEG6:UEI6 UEO6:UEQ6 UEW6:UEY6 UFE6:UFG6 UFM6:UFO6 UFU6:UFW6 UGC6:UGE6 UGK6:UGM6 UGS6:UGU6 UHA6:UHC6 UHI6:UHK6 UHQ6:UHS6 UHY6:UIA6 UIG6:UII6 UIO6:UIQ6 UIW6:UIY6 UJE6:UJG6 UJM6:UJO6 UJU6:UJW6 UKC6:UKE6 UKK6:UKM6 UKS6:UKU6 ULA6:ULC6 ULI6:ULK6 ULQ6:ULS6 ULY6:UMA6 UMG6:UMI6 UMO6:UMQ6 UMW6:UMY6 UNE6:UNG6 UNM6:UNO6 UNU6:UNW6 UOC6:UOE6 UOK6:UOM6 UOS6:UOU6 UPA6:UPC6 UPI6:UPK6 UPQ6:UPS6 UPY6:UQA6 UQG6:UQI6 UQO6:UQQ6 UQW6:UQY6 URE6:URG6 URM6:URO6 URU6:URW6 USC6:USE6 USK6:USM6 USS6:USU6 UTA6:UTC6 UTI6:UTK6 UTQ6:UTS6 UTY6:UUA6 UUG6:UUI6 UUO6:UUQ6 UUW6:UUY6 UVE6:UVG6 UVM6:UVO6 UVU6:UVW6 UWC6:UWE6 UWK6:UWM6 UWS6:UWU6 UXA6:UXC6 UXI6:UXK6 UXQ6:UXS6 UXY6:UYA6 UYG6:UYI6 UYO6:UYQ6 UYW6:UYY6 UZE6:UZG6 UZM6:UZO6 UZU6:UZW6 VAC6:VAE6 VAK6:VAM6 VAS6:VAU6 VBA6:VBC6 VBI6:VBK6 VBQ6:VBS6 VBY6:VCA6 VCG6:VCI6 VCO6:VCQ6 VCW6:VCY6 VDE6:VDG6 VDM6:VDO6 VDU6:VDW6 VEC6:VEE6 VEK6:VEM6 VES6:VEU6 VFA6:VFC6 VFI6:VFK6 VFQ6:VFS6 VFY6:VGA6 VGG6:VGI6 VGO6:VGQ6 VGW6:VGY6 VHE6:VHG6 VHM6:VHO6 VHU6:VHW6 VIC6:VIE6 VIK6:VIM6 VIS6:VIU6 VJA6:VJC6 VJI6:VJK6 VJQ6:VJS6 VJY6:VKA6 VKG6:VKI6 VKO6:VKQ6 VKW6:VKY6 VLE6:VLG6 VLM6:VLO6 VLU6:VLW6 VMC6:VME6 VMK6:VMM6 VMS6:VMU6 VNA6:VNC6 VNI6:VNK6 VNQ6:VNS6 VNY6:VOA6 VOG6:VOI6 VOO6:VOQ6 VOW6:VOY6 VPE6:VPG6 VPM6:VPO6 VPU6:VPW6 VQC6:VQE6 VQK6:VQM6 VQS6:VQU6 VRA6:VRC6 VRI6:VRK6 VRQ6:VRS6 VRY6:VSA6 VSG6:VSI6 VSO6:VSQ6 VSW6:VSY6 VTE6:VTG6 VTM6:VTO6 VTU6:VTW6 VUC6:VUE6 VUK6:VUM6 VUS6:VUU6 VVA6:VVC6 VVI6:VVK6 VVQ6:VVS6 VVY6:VWA6 VWG6:VWI6 VWO6:VWQ6 VWW6:VWY6 VXE6:VXG6 VXM6:VXO6 VXU6:VXW6 VYC6:VYE6 VYK6:VYM6 VYS6:VYU6 VZA6:VZC6 VZI6:VZK6 VZQ6:VZS6 VZY6:WAA6 WAG6:WAI6 WAO6:WAQ6 WAW6:WAY6 WBE6:WBG6 WBM6:WBO6 WBU6:WBW6 WCC6:WCE6 WCK6:WCM6 WCS6:WCU6 WDA6:WDC6 WDI6:WDK6 WDQ6:WDS6 WDY6:WEA6 WEG6:WEI6 WEO6:WEQ6 WEW6:WEY6 WFE6:WFG6 WFM6:WFO6 WFU6:WFW6 WGC6:WGE6 WGK6:WGM6 WGS6:WGU6 WHA6:WHC6 WHI6:WHK6 WHQ6:WHS6 WHY6:WIA6 WIG6:WII6 WIO6:WIQ6 WIW6:WIY6 WJE6:WJG6 WJM6:WJO6 WJU6:WJW6 WKC6:WKE6 WKK6:WKM6 WKS6:WKU6 WLA6:WLC6 WLI6:WLK6 WLQ6:WLS6 WLY6:WMA6 WMG6:WMI6 WMO6:WMQ6 WMW6:WMY6 WNE6:WNG6 WNM6:WNO6 WNU6:WNW6 WOC6:WOE6 WOK6:WOM6 WOS6:WOU6 WPA6:WPC6 WPI6:WPK6 WPQ6:WPS6 WPY6:WQA6 WQG6:WQI6 WQO6:WQQ6 WQW6:WQY6 WRE6:WRG6 WRM6:WRO6 WRU6:WRW6 WSC6:WSE6 WSK6:WSM6 WSS6:WSU6 WTA6:WTC6 WTI6:WTK6 WTQ6:WTS6 WTY6:WUA6 WUG6:WUI6 WUO6:WUQ6 WUW6:WUY6 WVE6:WVG6 WVM6:WVO6 WVU6:WVW6 WWC6:WWE6 WWK6:WWM6 WWS6:WWU6 WXA6:WXC6 WXI6:WXK6 WXQ6:WXS6 WXY6:WYA6 WYG6:WYI6 WYO6:WYQ6 WYW6:WYY6 WZE6:WZG6 WZM6:WZO6 WZU6:WZW6 XAC6:XAE6 XAK6:XAM6 XAS6:XAU6 XBA6:XBC6 XBI6:XBK6 XBQ6:XBS6 XBY6:XCA6 XCG6:XCI6 XCO6:XCQ6 XCW6:XCY6 XDE6:XDG6 XDM6:XDO6 XDU6:XDW6 XEC6:XEE6 XEK6:XEM6 XES6:XEU6 XFA6:XFD6 E6:G6" name="Intervalo6"/>
    <protectedRange sqref="H5 Q6 Y6 AG6 AO6 AW6 BE6 BM6 BU6 CC6 CK6 CS6 DA6 DI6 DQ6 DY6 EG6 EO6 EW6 FE6 FM6 FU6 GC6 GK6 GS6 HA6 HI6 HQ6 HY6 IG6 IO6 IW6 JE6 JM6 JU6 KC6 KK6 KS6 LA6 LI6 LQ6 LY6 MG6 MO6 MW6 NE6 NM6 NU6 OC6 OK6 OS6 PA6 PI6 PQ6 PY6 QG6 QO6 QW6 RE6 RM6 RU6 SC6 SK6 SS6 TA6 TI6 TQ6 TY6 UG6 UO6 UW6 VE6 VM6 VU6 WC6 WK6 WS6 XA6 XI6 XQ6 XY6 YG6 YO6 YW6 ZE6 ZM6 ZU6 AAC6 AAK6 AAS6 ABA6 ABI6 ABQ6 ABY6 ACG6 ACO6 ACW6 ADE6 ADM6 ADU6 AEC6 AEK6 AES6 AFA6 AFI6 AFQ6 AFY6 AGG6 AGO6 AGW6 AHE6 AHM6 AHU6 AIC6 AIK6 AIS6 AJA6 AJI6 AJQ6 AJY6 AKG6 AKO6 AKW6 ALE6 ALM6 ALU6 AMC6 AMK6 AMS6 ANA6 ANI6 ANQ6 ANY6 AOG6 AOO6 AOW6 APE6 APM6 APU6 AQC6 AQK6 AQS6 ARA6 ARI6 ARQ6 ARY6 ASG6 ASO6 ASW6 ATE6 ATM6 ATU6 AUC6 AUK6 AUS6 AVA6 AVI6 AVQ6 AVY6 AWG6 AWO6 AWW6 AXE6 AXM6 AXU6 AYC6 AYK6 AYS6 AZA6 AZI6 AZQ6 AZY6 BAG6 BAO6 BAW6 BBE6 BBM6 BBU6 BCC6 BCK6 BCS6 BDA6 BDI6 BDQ6 BDY6 BEG6 BEO6 BEW6 BFE6 BFM6 BFU6 BGC6 BGK6 BGS6 BHA6 BHI6 BHQ6 BHY6 BIG6 BIO6 BIW6 BJE6 BJM6 BJU6 BKC6 BKK6 BKS6 BLA6 BLI6 BLQ6 BLY6 BMG6 BMO6 BMW6 BNE6 BNM6 BNU6 BOC6 BOK6 BOS6 BPA6 BPI6 BPQ6 BPY6 BQG6 BQO6 BQW6 BRE6 BRM6 BRU6 BSC6 BSK6 BSS6 BTA6 BTI6 BTQ6 BTY6 BUG6 BUO6 BUW6 BVE6 BVM6 BVU6 BWC6 BWK6 BWS6 BXA6 BXI6 BXQ6 BXY6 BYG6 BYO6 BYW6 BZE6 BZM6 BZU6 CAC6 CAK6 CAS6 CBA6 CBI6 CBQ6 CBY6 CCG6 CCO6 CCW6 CDE6 CDM6 CDU6 CEC6 CEK6 CES6 CFA6 CFI6 CFQ6 CFY6 CGG6 CGO6 CGW6 CHE6 CHM6 CHU6 CIC6 CIK6 CIS6 CJA6 CJI6 CJQ6 CJY6 CKG6 CKO6 CKW6 CLE6 CLM6 CLU6 CMC6 CMK6 CMS6 CNA6 CNI6 CNQ6 CNY6 COG6 COO6 COW6 CPE6 CPM6 CPU6 CQC6 CQK6 CQS6 CRA6 CRI6 CRQ6 CRY6 CSG6 CSO6 CSW6 CTE6 CTM6 CTU6 CUC6 CUK6 CUS6 CVA6 CVI6 CVQ6 CVY6 CWG6 CWO6 CWW6 CXE6 CXM6 CXU6 CYC6 CYK6 CYS6 CZA6 CZI6 CZQ6 CZY6 DAG6 DAO6 DAW6 DBE6 DBM6 DBU6 DCC6 DCK6 DCS6 DDA6 DDI6 DDQ6 DDY6 DEG6 DEO6 DEW6 DFE6 DFM6 DFU6 DGC6 DGK6 DGS6 DHA6 DHI6 DHQ6 DHY6 DIG6 DIO6 DIW6 DJE6 DJM6 DJU6 DKC6 DKK6 DKS6 DLA6 DLI6 DLQ6 DLY6 DMG6 DMO6 DMW6 DNE6 DNM6 DNU6 DOC6 DOK6 DOS6 DPA6 DPI6 DPQ6 DPY6 DQG6 DQO6 DQW6 DRE6 DRM6 DRU6 DSC6 DSK6 DSS6 DTA6 DTI6 DTQ6 DTY6 DUG6 DUO6 DUW6 DVE6 DVM6 DVU6 DWC6 DWK6 DWS6 DXA6 DXI6 DXQ6 DXY6 DYG6 DYO6 DYW6 DZE6 DZM6 DZU6 EAC6 EAK6 EAS6 EBA6 EBI6 EBQ6 EBY6 ECG6 ECO6 ECW6 EDE6 EDM6 EDU6 EEC6 EEK6 EES6 EFA6 EFI6 EFQ6 EFY6 EGG6 EGO6 EGW6 EHE6 EHM6 EHU6 EIC6 EIK6 EIS6 EJA6 EJI6 EJQ6 EJY6 EKG6 EKO6 EKW6 ELE6 ELM6 ELU6 EMC6 EMK6 EMS6 ENA6 ENI6 ENQ6 ENY6 EOG6 EOO6 EOW6 EPE6 EPM6 EPU6 EQC6 EQK6 EQS6 ERA6 ERI6 ERQ6 ERY6 ESG6 ESO6 ESW6 ETE6 ETM6 ETU6 EUC6 EUK6 EUS6 EVA6 EVI6 EVQ6 EVY6 EWG6 EWO6 EWW6 EXE6 EXM6 EXU6 EYC6 EYK6 EYS6 EZA6 EZI6 EZQ6 EZY6 FAG6 FAO6 FAW6 FBE6 FBM6 FBU6 FCC6 FCK6 FCS6 FDA6 FDI6 FDQ6 FDY6 FEG6 FEO6 FEW6 FFE6 FFM6 FFU6 FGC6 FGK6 FGS6 FHA6 FHI6 FHQ6 FHY6 FIG6 FIO6 FIW6 FJE6 FJM6 FJU6 FKC6 FKK6 FKS6 FLA6 FLI6 FLQ6 FLY6 FMG6 FMO6 FMW6 FNE6 FNM6 FNU6 FOC6 FOK6 FOS6 FPA6 FPI6 FPQ6 FPY6 FQG6 FQO6 FQW6 FRE6 FRM6 FRU6 FSC6 FSK6 FSS6 FTA6 FTI6 FTQ6 FTY6 FUG6 FUO6 FUW6 FVE6 FVM6 FVU6 FWC6 FWK6 FWS6 FXA6 FXI6 FXQ6 FXY6 FYG6 FYO6 FYW6 FZE6 FZM6 FZU6 GAC6 GAK6 GAS6 GBA6 GBI6 GBQ6 GBY6 GCG6 GCO6 GCW6 GDE6 GDM6 GDU6 GEC6 GEK6 GES6 GFA6 GFI6 GFQ6 GFY6 GGG6 GGO6 GGW6 GHE6 GHM6 GHU6 GIC6 GIK6 GIS6 GJA6 GJI6 GJQ6 GJY6 GKG6 GKO6 GKW6 GLE6 GLM6 GLU6 GMC6 GMK6 GMS6 GNA6 GNI6 GNQ6 GNY6 GOG6 GOO6 GOW6 GPE6 GPM6 GPU6 GQC6 GQK6 GQS6 GRA6 GRI6 GRQ6 GRY6 GSG6 GSO6 GSW6 GTE6 GTM6 GTU6 GUC6 GUK6 GUS6 GVA6 GVI6 GVQ6 GVY6 GWG6 GWO6 GWW6 GXE6 GXM6 GXU6 GYC6 GYK6 GYS6 GZA6 GZI6 GZQ6 GZY6 HAG6 HAO6 HAW6 HBE6 HBM6 HBU6 HCC6 HCK6 HCS6 HDA6 HDI6 HDQ6 HDY6 HEG6 HEO6 HEW6 HFE6 HFM6 HFU6 HGC6 HGK6 HGS6 HHA6 HHI6 HHQ6 HHY6 HIG6 HIO6 HIW6 HJE6 HJM6 HJU6 HKC6 HKK6 HKS6 HLA6 HLI6 HLQ6 HLY6 HMG6 HMO6 HMW6 HNE6 HNM6 HNU6 HOC6 HOK6 HOS6 HPA6 HPI6 HPQ6 HPY6 HQG6 HQO6 HQW6 HRE6 HRM6 HRU6 HSC6 HSK6 HSS6 HTA6 HTI6 HTQ6 HTY6 HUG6 HUO6 HUW6 HVE6 HVM6 HVU6 HWC6 HWK6 HWS6 HXA6 HXI6 HXQ6 HXY6 HYG6 HYO6 HYW6 HZE6 HZM6 HZU6 IAC6 IAK6 IAS6 IBA6 IBI6 IBQ6 IBY6 ICG6 ICO6 ICW6 IDE6 IDM6 IDU6 IEC6 IEK6 IES6 IFA6 IFI6 IFQ6 IFY6 IGG6 IGO6 IGW6 IHE6 IHM6 IHU6 IIC6 IIK6 IIS6 IJA6 IJI6 IJQ6 IJY6 IKG6 IKO6 IKW6 ILE6 ILM6 ILU6 IMC6 IMK6 IMS6 INA6 INI6 INQ6 INY6 IOG6 IOO6 IOW6 IPE6 IPM6 IPU6 IQC6 IQK6 IQS6 IRA6 IRI6 IRQ6 IRY6 ISG6 ISO6 ISW6 ITE6 ITM6 ITU6 IUC6 IUK6 IUS6 IVA6 IVI6 IVQ6 IVY6 IWG6 IWO6 IWW6 IXE6 IXM6 IXU6 IYC6 IYK6 IYS6 IZA6 IZI6 IZQ6 IZY6 JAG6 JAO6 JAW6 JBE6 JBM6 JBU6 JCC6 JCK6 JCS6 JDA6 JDI6 JDQ6 JDY6 JEG6 JEO6 JEW6 JFE6 JFM6 JFU6 JGC6 JGK6 JGS6 JHA6 JHI6 JHQ6 JHY6 JIG6 JIO6 JIW6 JJE6 JJM6 JJU6 JKC6 JKK6 JKS6 JLA6 JLI6 JLQ6 JLY6 JMG6 JMO6 JMW6 JNE6 JNM6 JNU6 JOC6 JOK6 JOS6 JPA6 JPI6 JPQ6 JPY6 JQG6 JQO6 JQW6 JRE6 JRM6 JRU6 JSC6 JSK6 JSS6 JTA6 JTI6 JTQ6 JTY6 JUG6 JUO6 JUW6 JVE6 JVM6 JVU6 JWC6 JWK6 JWS6 JXA6 JXI6 JXQ6 JXY6 JYG6 JYO6 JYW6 JZE6 JZM6 JZU6 KAC6 KAK6 KAS6 KBA6 KBI6 KBQ6 KBY6 KCG6 KCO6 KCW6 KDE6 KDM6 KDU6 KEC6 KEK6 KES6 KFA6 KFI6 KFQ6 KFY6 KGG6 KGO6 KGW6 KHE6 KHM6 KHU6 KIC6 KIK6 KIS6 KJA6 KJI6 KJQ6 KJY6 KKG6 KKO6 KKW6 KLE6 KLM6 KLU6 KMC6 KMK6 KMS6 KNA6 KNI6 KNQ6 KNY6 KOG6 KOO6 KOW6 KPE6 KPM6 KPU6 KQC6 KQK6 KQS6 KRA6 KRI6 KRQ6 KRY6 KSG6 KSO6 KSW6 KTE6 KTM6 KTU6 KUC6 KUK6 KUS6 KVA6 KVI6 KVQ6 KVY6 KWG6 KWO6 KWW6 KXE6 KXM6 KXU6 KYC6 KYK6 KYS6 KZA6 KZI6 KZQ6 KZY6 LAG6 LAO6 LAW6 LBE6 LBM6 LBU6 LCC6 LCK6 LCS6 LDA6 LDI6 LDQ6 LDY6 LEG6 LEO6 LEW6 LFE6 LFM6 LFU6 LGC6 LGK6 LGS6 LHA6 LHI6 LHQ6 LHY6 LIG6 LIO6 LIW6 LJE6 LJM6 LJU6 LKC6 LKK6 LKS6 LLA6 LLI6 LLQ6 LLY6 LMG6 LMO6 LMW6 LNE6 LNM6 LNU6 LOC6 LOK6 LOS6 LPA6 LPI6 LPQ6 LPY6 LQG6 LQO6 LQW6 LRE6 LRM6 LRU6 LSC6 LSK6 LSS6 LTA6 LTI6 LTQ6 LTY6 LUG6 LUO6 LUW6 LVE6 LVM6 LVU6 LWC6 LWK6 LWS6 LXA6 LXI6 LXQ6 LXY6 LYG6 LYO6 LYW6 LZE6 LZM6 LZU6 MAC6 MAK6 MAS6 MBA6 MBI6 MBQ6 MBY6 MCG6 MCO6 MCW6 MDE6 MDM6 MDU6 MEC6 MEK6 MES6 MFA6 MFI6 MFQ6 MFY6 MGG6 MGO6 MGW6 MHE6 MHM6 MHU6 MIC6 MIK6 MIS6 MJA6 MJI6 MJQ6 MJY6 MKG6 MKO6 MKW6 MLE6 MLM6 MLU6 MMC6 MMK6 MMS6 MNA6 MNI6 MNQ6 MNY6 MOG6 MOO6 MOW6 MPE6 MPM6 MPU6 MQC6 MQK6 MQS6 MRA6 MRI6 MRQ6 MRY6 MSG6 MSO6 MSW6 MTE6 MTM6 MTU6 MUC6 MUK6 MUS6 MVA6 MVI6 MVQ6 MVY6 MWG6 MWO6 MWW6 MXE6 MXM6 MXU6 MYC6 MYK6 MYS6 MZA6 MZI6 MZQ6 MZY6 NAG6 NAO6 NAW6 NBE6 NBM6 NBU6 NCC6 NCK6 NCS6 NDA6 NDI6 NDQ6 NDY6 NEG6 NEO6 NEW6 NFE6 NFM6 NFU6 NGC6 NGK6 NGS6 NHA6 NHI6 NHQ6 NHY6 NIG6 NIO6 NIW6 NJE6 NJM6 NJU6 NKC6 NKK6 NKS6 NLA6 NLI6 NLQ6 NLY6 NMG6 NMO6 NMW6 NNE6 NNM6 NNU6 NOC6 NOK6 NOS6 NPA6 NPI6 NPQ6 NPY6 NQG6 NQO6 NQW6 NRE6 NRM6 NRU6 NSC6 NSK6 NSS6 NTA6 NTI6 NTQ6 NTY6 NUG6 NUO6 NUW6 NVE6 NVM6 NVU6 NWC6 NWK6 NWS6 NXA6 NXI6 NXQ6 NXY6 NYG6 NYO6 NYW6 NZE6 NZM6 NZU6 OAC6 OAK6 OAS6 OBA6 OBI6 OBQ6 OBY6 OCG6 OCO6 OCW6 ODE6 ODM6 ODU6 OEC6 OEK6 OES6 OFA6 OFI6 OFQ6 OFY6 OGG6 OGO6 OGW6 OHE6 OHM6 OHU6 OIC6 OIK6 OIS6 OJA6 OJI6 OJQ6 OJY6 OKG6 OKO6 OKW6 OLE6 OLM6 OLU6 OMC6 OMK6 OMS6 ONA6 ONI6 ONQ6 ONY6 OOG6 OOO6 OOW6 OPE6 OPM6 OPU6 OQC6 OQK6 OQS6 ORA6 ORI6 ORQ6 ORY6 OSG6 OSO6 OSW6 OTE6 OTM6 OTU6 OUC6 OUK6 OUS6 OVA6 OVI6 OVQ6 OVY6 OWG6 OWO6 OWW6 OXE6 OXM6 OXU6 OYC6 OYK6 OYS6 OZA6 OZI6 OZQ6 OZY6 PAG6 PAO6 PAW6 PBE6 PBM6 PBU6 PCC6 PCK6 PCS6 PDA6 PDI6 PDQ6 PDY6 PEG6 PEO6 PEW6 PFE6 PFM6 PFU6 PGC6 PGK6 PGS6 PHA6 PHI6 PHQ6 PHY6 PIG6 PIO6 PIW6 PJE6 PJM6 PJU6 PKC6 PKK6 PKS6 PLA6 PLI6 PLQ6 PLY6 PMG6 PMO6 PMW6 PNE6 PNM6 PNU6 POC6 POK6 POS6 PPA6 PPI6 PPQ6 PPY6 PQG6 PQO6 PQW6 PRE6 PRM6 PRU6 PSC6 PSK6 PSS6 PTA6 PTI6 PTQ6 PTY6 PUG6 PUO6 PUW6 PVE6 PVM6 PVU6 PWC6 PWK6 PWS6 PXA6 PXI6 PXQ6 PXY6 PYG6 PYO6 PYW6 PZE6 PZM6 PZU6 QAC6 QAK6 QAS6 QBA6 QBI6 QBQ6 QBY6 QCG6 QCO6 QCW6 QDE6 QDM6 QDU6 QEC6 QEK6 QES6 QFA6 QFI6 QFQ6 QFY6 QGG6 QGO6 QGW6 QHE6 QHM6 QHU6 QIC6 QIK6 QIS6 QJA6 QJI6 QJQ6 QJY6 QKG6 QKO6 QKW6 QLE6 QLM6 QLU6 QMC6 QMK6 QMS6 QNA6 QNI6 QNQ6 QNY6 QOG6 QOO6 QOW6 QPE6 QPM6 QPU6 QQC6 QQK6 QQS6 QRA6 QRI6 QRQ6 QRY6 QSG6 QSO6 QSW6 QTE6 QTM6 QTU6 QUC6 QUK6 QUS6 QVA6 QVI6 QVQ6 QVY6 QWG6 QWO6 QWW6 QXE6 QXM6 QXU6 QYC6 QYK6 QYS6 QZA6 QZI6 QZQ6 QZY6 RAG6 RAO6 RAW6 RBE6 RBM6 RBU6 RCC6 RCK6 RCS6 RDA6 RDI6 RDQ6 RDY6 REG6 REO6 REW6 RFE6 RFM6 RFU6 RGC6 RGK6 RGS6 RHA6 RHI6 RHQ6 RHY6 RIG6 RIO6 RIW6 RJE6 RJM6 RJU6 RKC6 RKK6 RKS6 RLA6 RLI6 RLQ6 RLY6 RMG6 RMO6 RMW6 RNE6 RNM6 RNU6 ROC6 ROK6 ROS6 RPA6 RPI6 RPQ6 RPY6 RQG6 RQO6 RQW6 RRE6 RRM6 RRU6 RSC6 RSK6 RSS6 RTA6 RTI6 RTQ6 RTY6 RUG6 RUO6 RUW6 RVE6 RVM6 RVU6 RWC6 RWK6 RWS6 RXA6 RXI6 RXQ6 RXY6 RYG6 RYO6 RYW6 RZE6 RZM6 RZU6 SAC6 SAK6 SAS6 SBA6 SBI6 SBQ6 SBY6 SCG6 SCO6 SCW6 SDE6 SDM6 SDU6 SEC6 SEK6 SES6 SFA6 SFI6 SFQ6 SFY6 SGG6 SGO6 SGW6 SHE6 SHM6 SHU6 SIC6 SIK6 SIS6 SJA6 SJI6 SJQ6 SJY6 SKG6 SKO6 SKW6 SLE6 SLM6 SLU6 SMC6 SMK6 SMS6 SNA6 SNI6 SNQ6 SNY6 SOG6 SOO6 SOW6 SPE6 SPM6 SPU6 SQC6 SQK6 SQS6 SRA6 SRI6 SRQ6 SRY6 SSG6 SSO6 SSW6 STE6 STM6 STU6 SUC6 SUK6 SUS6 SVA6 SVI6 SVQ6 SVY6 SWG6 SWO6 SWW6 SXE6 SXM6 SXU6 SYC6 SYK6 SYS6 SZA6 SZI6 SZQ6 SZY6 TAG6 TAO6 TAW6 TBE6 TBM6 TBU6 TCC6 TCK6 TCS6 TDA6 TDI6 TDQ6 TDY6 TEG6 TEO6 TEW6 TFE6 TFM6 TFU6 TGC6 TGK6 TGS6 THA6 THI6 THQ6 THY6 TIG6 TIO6 TIW6 TJE6 TJM6 TJU6 TKC6 TKK6 TKS6 TLA6 TLI6 TLQ6 TLY6 TMG6 TMO6 TMW6 TNE6 TNM6 TNU6 TOC6 TOK6 TOS6 TPA6 TPI6 TPQ6 TPY6 TQG6 TQO6 TQW6 TRE6 TRM6 TRU6 TSC6 TSK6 TSS6 TTA6 TTI6 TTQ6 TTY6 TUG6 TUO6 TUW6 TVE6 TVM6 TVU6 TWC6 TWK6 TWS6 TXA6 TXI6 TXQ6 TXY6 TYG6 TYO6 TYW6 TZE6 TZM6 TZU6 UAC6 UAK6 UAS6 UBA6 UBI6 UBQ6 UBY6 UCG6 UCO6 UCW6 UDE6 UDM6 UDU6 UEC6 UEK6 UES6 UFA6 UFI6 UFQ6 UFY6 UGG6 UGO6 UGW6 UHE6 UHM6 UHU6 UIC6 UIK6 UIS6 UJA6 UJI6 UJQ6 UJY6 UKG6 UKO6 UKW6 ULE6 ULM6 ULU6 UMC6 UMK6 UMS6 UNA6 UNI6 UNQ6 UNY6 UOG6 UOO6 UOW6 UPE6 UPM6 UPU6 UQC6 UQK6 UQS6 URA6 URI6 URQ6 URY6 USG6 USO6 USW6 UTE6 UTM6 UTU6 UUC6 UUK6 UUS6 UVA6 UVI6 UVQ6 UVY6 UWG6 UWO6 UWW6 UXE6 UXM6 UXU6 UYC6 UYK6 UYS6 UZA6 UZI6 UZQ6 UZY6 VAG6 VAO6 VAW6 VBE6 VBM6 VBU6 VCC6 VCK6 VCS6 VDA6 VDI6 VDQ6 VDY6 VEG6 VEO6 VEW6 VFE6 VFM6 VFU6 VGC6 VGK6 VGS6 VHA6 VHI6 VHQ6 VHY6 VIG6 VIO6 VIW6 VJE6 VJM6 VJU6 VKC6 VKK6 VKS6 VLA6 VLI6 VLQ6 VLY6 VMG6 VMO6 VMW6 VNE6 VNM6 VNU6 VOC6 VOK6 VOS6 VPA6 VPI6 VPQ6 VPY6 VQG6 VQO6 VQW6 VRE6 VRM6 VRU6 VSC6 VSK6 VSS6 VTA6 VTI6 VTQ6 VTY6 VUG6 VUO6 VUW6 VVE6 VVM6 VVU6 VWC6 VWK6 VWS6 VXA6 VXI6 VXQ6 VXY6 VYG6 VYO6 VYW6 VZE6 VZM6 VZU6 WAC6 WAK6 WAS6 WBA6 WBI6 WBQ6 WBY6 WCG6 WCO6 WCW6 WDE6 WDM6 WDU6 WEC6 WEK6 WES6 WFA6 WFI6 WFQ6 WFY6 WGG6 WGO6 WGW6 WHE6 WHM6 WHU6 WIC6 WIK6 WIS6 WJA6 WJI6 WJQ6 WJY6 WKG6 WKO6 WKW6 WLE6 WLM6 WLU6 WMC6 WMK6 WMS6 WNA6 WNI6 WNQ6 WNY6 WOG6 WOO6 WOW6 WPE6 WPM6 WPU6 WQC6 WQK6 WQS6 WRA6 WRI6 WRQ6 WRY6 WSG6 WSO6 WSW6 WTE6 WTM6 WTU6 WUC6 WUK6 WUS6 WVA6 WVI6 WVQ6 WVY6 WWG6 WWO6 WWW6 WXE6 WXM6 WXU6 WYC6 WYK6 WYS6 WZA6 WZI6 WZQ6 WZY6 XAG6 XAO6 XAW6 XBE6 XBM6 XBU6 XCC6 XCK6 XCS6 XDA6 XDI6 XDQ6 XDY6 XEG6 XEO6 XEW6 I6" name="Intervalo4"/>
  </protectedRanges>
  <mergeCells count="4">
    <mergeCell ref="A3:G3"/>
    <mergeCell ref="A1:H1"/>
    <mergeCell ref="A2:H2"/>
    <mergeCell ref="A12:F12"/>
  </mergeCells>
  <phoneticPr fontId="17" type="noConversion"/>
  <conditionalFormatting sqref="A1:A2 I1:XFD2 A12 G12:XFD12 A13:XFD1048576 A3:XFD3 A6:XFD11 A4:G5 I4:XFD5">
    <cfRule type="expression" dxfId="16" priority="3">
      <formula>CELL("proteger",A1)=1</formula>
    </cfRule>
  </conditionalFormatting>
  <conditionalFormatting sqref="H5">
    <cfRule type="expression" dxfId="15" priority="2">
      <formula>CELL("proteger",H5)=1</formula>
    </cfRule>
  </conditionalFormatting>
  <conditionalFormatting sqref="H4">
    <cfRule type="expression" dxfId="14" priority="1">
      <formula>CELL("proteger",H4)=1</formula>
    </cfRule>
  </conditionalFormatting>
  <printOptions horizontalCentered="1"/>
  <pageMargins left="0.39370078740157483" right="0.39370078740157483" top="1.1811023622047245" bottom="0.78740157480314965" header="0.19685039370078741" footer="0.19685039370078741"/>
  <pageSetup paperSize="9" scale="68" fitToHeight="0" orientation="portrait" r:id="rId1"/>
  <headerFooter scaleWithDoc="0">
    <oddHeader>&amp;L&amp;G&amp;RPagina&amp;P &amp;A</oddHeader>
  </headerFooter>
  <drawing r:id="rId2"/>
  <legacyDrawing r:id="rId3"/>
  <legacyDrawingHF r:id="rId4"/>
  <oleObjects>
    <mc:AlternateContent xmlns:mc="http://schemas.openxmlformats.org/markup-compatibility/2006">
      <mc:Choice Requires="x14">
        <oleObject progId="CorelDraw.Graphic.18" shapeId="30721" r:id="rId5">
          <objectPr defaultSize="0" autoPict="0" r:id="rId6">
            <anchor moveWithCells="1">
              <from>
                <xdr:col>1</xdr:col>
                <xdr:colOff>838200</xdr:colOff>
                <xdr:row>0</xdr:row>
                <xdr:rowOff>47625</xdr:rowOff>
              </from>
              <to>
                <xdr:col>1</xdr:col>
                <xdr:colOff>1752600</xdr:colOff>
                <xdr:row>0</xdr:row>
                <xdr:rowOff>733425</xdr:rowOff>
              </to>
            </anchor>
          </objectPr>
        </oleObject>
      </mc:Choice>
      <mc:Fallback>
        <oleObject progId="CorelDraw.Graphic.18" shapeId="30721" r:id="rId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52436-251C-4A4B-95C9-B42473C6B6A6}">
  <dimension ref="A1:T45"/>
  <sheetViews>
    <sheetView view="pageBreakPreview" zoomScale="85" zoomScaleNormal="55" zoomScaleSheetLayoutView="85" workbookViewId="0">
      <selection activeCell="G27" sqref="G27"/>
    </sheetView>
  </sheetViews>
  <sheetFormatPr defaultRowHeight="14.25"/>
  <cols>
    <col min="1" max="1" width="15.625" style="51" customWidth="1"/>
    <col min="2" max="2" width="17" style="51" customWidth="1"/>
    <col min="3" max="3" width="23.375" style="51" customWidth="1"/>
    <col min="4" max="4" width="15.125" style="51" bestFit="1" customWidth="1"/>
    <col min="5" max="5" width="13" style="51" bestFit="1" customWidth="1"/>
    <col min="6" max="6" width="11.125" style="51" customWidth="1"/>
    <col min="7" max="7" width="45.625" style="51" customWidth="1"/>
    <col min="8" max="8" width="40.125" style="51" customWidth="1"/>
    <col min="9" max="9" width="13.25" style="51" bestFit="1" customWidth="1"/>
    <col min="10" max="10" width="12" style="51" bestFit="1" customWidth="1"/>
    <col min="11" max="11" width="16.375" style="51" bestFit="1" customWidth="1"/>
    <col min="12" max="16384" width="9" style="51"/>
  </cols>
  <sheetData>
    <row r="1" spans="1:20" ht="26.25" customHeight="1">
      <c r="A1" s="1077" t="s">
        <v>514</v>
      </c>
      <c r="B1" s="1078"/>
      <c r="C1" s="1078"/>
      <c r="D1" s="1078"/>
      <c r="E1" s="1078"/>
      <c r="F1" s="1078"/>
      <c r="G1" s="1078"/>
      <c r="H1" s="1078"/>
    </row>
    <row r="2" spans="1:20" ht="14.25" customHeight="1">
      <c r="A2" s="1077"/>
      <c r="B2" s="1078"/>
      <c r="C2" s="1078"/>
      <c r="D2" s="1078"/>
      <c r="E2" s="1078"/>
      <c r="F2" s="1078"/>
      <c r="G2" s="1078"/>
      <c r="H2" s="1078"/>
    </row>
    <row r="3" spans="1:20" ht="30" customHeight="1" thickBot="1">
      <c r="A3" s="1079"/>
      <c r="B3" s="1080"/>
      <c r="C3" s="1080"/>
      <c r="D3" s="1080"/>
      <c r="E3" s="1080"/>
      <c r="F3" s="1080"/>
      <c r="G3" s="1080"/>
      <c r="H3" s="1080"/>
    </row>
    <row r="4" spans="1:20" ht="15.75" thickBot="1">
      <c r="A4" s="182" t="s">
        <v>249</v>
      </c>
      <c r="B4" s="183" t="s">
        <v>250</v>
      </c>
      <c r="C4" s="183" t="s">
        <v>251</v>
      </c>
      <c r="D4" s="183"/>
      <c r="E4" s="183" t="s">
        <v>252</v>
      </c>
      <c r="F4" s="183" t="s">
        <v>17</v>
      </c>
      <c r="G4" s="101" t="s">
        <v>555</v>
      </c>
      <c r="H4" s="101" t="s">
        <v>556</v>
      </c>
    </row>
    <row r="5" spans="1:20" ht="120">
      <c r="A5" s="1082" t="s">
        <v>375</v>
      </c>
      <c r="B5" s="1085" t="s">
        <v>336</v>
      </c>
      <c r="C5" s="189" t="s">
        <v>410</v>
      </c>
      <c r="D5" s="189" t="s">
        <v>403</v>
      </c>
      <c r="E5" s="520">
        <v>0</v>
      </c>
      <c r="F5" s="189" t="s">
        <v>255</v>
      </c>
      <c r="G5" s="195" t="s">
        <v>408</v>
      </c>
      <c r="H5" s="629"/>
      <c r="I5" s="65"/>
      <c r="J5" s="65"/>
      <c r="K5" s="65"/>
      <c r="L5" s="65"/>
      <c r="M5" s="65"/>
      <c r="N5" s="65"/>
      <c r="O5" s="65"/>
      <c r="P5" s="65"/>
      <c r="Q5" s="65"/>
      <c r="R5" s="65"/>
      <c r="S5" s="65"/>
      <c r="T5" s="65"/>
    </row>
    <row r="6" spans="1:20" ht="90">
      <c r="A6" s="1083"/>
      <c r="B6" s="1086"/>
      <c r="C6" s="186" t="s">
        <v>257</v>
      </c>
      <c r="D6" s="189" t="s">
        <v>403</v>
      </c>
      <c r="E6" s="521">
        <f>E5*35%</f>
        <v>0</v>
      </c>
      <c r="F6" s="186" t="s">
        <v>255</v>
      </c>
      <c r="G6" s="190" t="s">
        <v>428</v>
      </c>
      <c r="H6" s="630"/>
      <c r="I6" s="65"/>
      <c r="J6" s="65"/>
      <c r="K6" s="65"/>
      <c r="L6" s="65"/>
      <c r="M6" s="65"/>
      <c r="N6" s="65"/>
      <c r="O6" s="65"/>
      <c r="P6" s="65"/>
      <c r="Q6" s="65"/>
      <c r="R6" s="65"/>
      <c r="S6" s="65"/>
      <c r="T6" s="65"/>
    </row>
    <row r="7" spans="1:20" ht="30">
      <c r="A7" s="1083"/>
      <c r="B7" s="1086"/>
      <c r="C7" s="186" t="s">
        <v>260</v>
      </c>
      <c r="D7" s="189" t="s">
        <v>403</v>
      </c>
      <c r="E7" s="522">
        <v>0</v>
      </c>
      <c r="F7" s="186" t="s">
        <v>261</v>
      </c>
      <c r="G7" s="190" t="s">
        <v>405</v>
      </c>
      <c r="H7" s="630"/>
      <c r="I7" s="65"/>
      <c r="J7" s="65"/>
      <c r="K7" s="65"/>
      <c r="L7" s="65"/>
      <c r="M7" s="65"/>
      <c r="N7" s="65"/>
      <c r="O7" s="65"/>
      <c r="P7" s="65"/>
      <c r="Q7" s="65"/>
      <c r="R7" s="65"/>
      <c r="S7" s="65"/>
      <c r="T7" s="65"/>
    </row>
    <row r="8" spans="1:20" ht="45">
      <c r="A8" s="1083"/>
      <c r="B8" s="1086"/>
      <c r="C8" s="186" t="s">
        <v>263</v>
      </c>
      <c r="D8" s="189" t="s">
        <v>403</v>
      </c>
      <c r="E8" s="521" t="e">
        <f>(E5-E6)/E7</f>
        <v>#DIV/0!</v>
      </c>
      <c r="F8" s="186" t="s">
        <v>264</v>
      </c>
      <c r="G8" s="190" t="s">
        <v>265</v>
      </c>
      <c r="H8" s="630"/>
      <c r="I8" s="65"/>
      <c r="J8" s="65"/>
      <c r="K8" s="65"/>
      <c r="L8" s="65"/>
      <c r="M8" s="65"/>
      <c r="N8" s="65"/>
      <c r="O8" s="65"/>
      <c r="P8" s="65"/>
      <c r="Q8" s="65"/>
      <c r="R8" s="65"/>
      <c r="S8" s="65"/>
      <c r="T8" s="65"/>
    </row>
    <row r="9" spans="1:20" ht="15" customHeight="1">
      <c r="A9" s="1083"/>
      <c r="B9" s="1086" t="s">
        <v>337</v>
      </c>
      <c r="C9" s="186" t="s">
        <v>266</v>
      </c>
      <c r="D9" s="189" t="s">
        <v>403</v>
      </c>
      <c r="E9" s="523">
        <v>0</v>
      </c>
      <c r="F9" s="186" t="s">
        <v>268</v>
      </c>
      <c r="G9" s="1081" t="s">
        <v>406</v>
      </c>
      <c r="H9" s="973"/>
      <c r="I9" s="65"/>
      <c r="J9" s="65"/>
      <c r="K9" s="65"/>
      <c r="L9" s="65"/>
      <c r="M9" s="65"/>
      <c r="N9" s="65"/>
      <c r="O9" s="65"/>
      <c r="P9" s="65"/>
      <c r="Q9" s="65"/>
      <c r="R9" s="65"/>
      <c r="S9" s="65"/>
      <c r="T9" s="65"/>
    </row>
    <row r="10" spans="1:20" ht="15">
      <c r="A10" s="1083"/>
      <c r="B10" s="1086"/>
      <c r="C10" s="186" t="s">
        <v>270</v>
      </c>
      <c r="D10" s="189" t="s">
        <v>403</v>
      </c>
      <c r="E10" s="521" t="e">
        <f>E5-(E8*12)</f>
        <v>#DIV/0!</v>
      </c>
      <c r="F10" s="186" t="s">
        <v>255</v>
      </c>
      <c r="G10" s="1081"/>
      <c r="H10" s="973"/>
      <c r="I10" s="65"/>
      <c r="J10" s="65"/>
      <c r="K10" s="65"/>
      <c r="L10" s="65"/>
      <c r="M10" s="65"/>
      <c r="N10" s="65"/>
      <c r="O10" s="65"/>
      <c r="P10" s="65"/>
      <c r="Q10" s="65"/>
      <c r="R10" s="65"/>
      <c r="S10" s="65"/>
      <c r="T10" s="65"/>
    </row>
    <row r="11" spans="1:20" ht="30">
      <c r="A11" s="1083"/>
      <c r="B11" s="1086"/>
      <c r="C11" s="186" t="s">
        <v>271</v>
      </c>
      <c r="D11" s="189" t="s">
        <v>403</v>
      </c>
      <c r="E11" s="523">
        <v>0</v>
      </c>
      <c r="F11" s="186" t="s">
        <v>268</v>
      </c>
      <c r="G11" s="1081"/>
      <c r="H11" s="973"/>
      <c r="I11" s="65"/>
      <c r="J11" s="65"/>
      <c r="K11" s="65"/>
      <c r="L11" s="65"/>
      <c r="M11" s="65"/>
      <c r="N11" s="65"/>
      <c r="O11" s="65"/>
      <c r="P11" s="65"/>
      <c r="Q11" s="65"/>
      <c r="R11" s="65"/>
      <c r="S11" s="65"/>
      <c r="T11" s="65"/>
    </row>
    <row r="12" spans="1:20" ht="15">
      <c r="A12" s="1083"/>
      <c r="B12" s="1086"/>
      <c r="C12" s="186" t="s">
        <v>272</v>
      </c>
      <c r="D12" s="189" t="s">
        <v>403</v>
      </c>
      <c r="E12" s="525" t="e">
        <f>((E10-E6)*(E11+1)/2*E11)+E6</f>
        <v>#DIV/0!</v>
      </c>
      <c r="F12" s="186" t="s">
        <v>255</v>
      </c>
      <c r="G12" s="187" t="s">
        <v>273</v>
      </c>
      <c r="H12" s="632"/>
      <c r="I12" s="65"/>
      <c r="J12" s="65"/>
      <c r="K12" s="65"/>
      <c r="L12" s="65"/>
      <c r="M12" s="65"/>
      <c r="N12" s="65"/>
      <c r="O12" s="65"/>
      <c r="P12" s="65"/>
      <c r="Q12" s="65"/>
      <c r="R12" s="65"/>
      <c r="S12" s="65"/>
      <c r="T12" s="65"/>
    </row>
    <row r="13" spans="1:20" ht="45">
      <c r="A13" s="1083"/>
      <c r="B13" s="1086"/>
      <c r="C13" s="186" t="s">
        <v>274</v>
      </c>
      <c r="D13" s="184" t="s">
        <v>16</v>
      </c>
      <c r="E13" s="526">
        <f>SELIC</f>
        <v>0</v>
      </c>
      <c r="F13" s="184" t="s">
        <v>275</v>
      </c>
      <c r="G13" s="190" t="s">
        <v>276</v>
      </c>
      <c r="H13" s="630"/>
      <c r="I13" s="65"/>
      <c r="J13" s="65"/>
      <c r="K13" s="65"/>
      <c r="L13" s="65"/>
      <c r="M13" s="65"/>
      <c r="N13" s="65"/>
      <c r="O13" s="65"/>
      <c r="P13" s="65"/>
      <c r="Q13" s="65"/>
      <c r="R13" s="65"/>
      <c r="S13" s="65"/>
      <c r="T13" s="65"/>
    </row>
    <row r="14" spans="1:20" ht="30">
      <c r="A14" s="1083"/>
      <c r="B14" s="1086"/>
      <c r="C14" s="186" t="s">
        <v>277</v>
      </c>
      <c r="D14" s="189" t="s">
        <v>403</v>
      </c>
      <c r="E14" s="525" t="e">
        <f>(E12*E13)/12</f>
        <v>#DIV/0!</v>
      </c>
      <c r="F14" s="186" t="s">
        <v>255</v>
      </c>
      <c r="G14" s="191" t="s">
        <v>278</v>
      </c>
      <c r="H14" s="631"/>
      <c r="I14" s="65"/>
      <c r="J14" s="65"/>
      <c r="K14" s="65"/>
      <c r="L14" s="65"/>
      <c r="M14" s="65"/>
      <c r="N14" s="65"/>
      <c r="O14" s="65"/>
      <c r="P14" s="65"/>
      <c r="Q14" s="65"/>
      <c r="R14" s="65"/>
      <c r="S14" s="65"/>
      <c r="T14" s="65"/>
    </row>
    <row r="15" spans="1:20" ht="75">
      <c r="A15" s="1083"/>
      <c r="B15" s="1105" t="s">
        <v>338</v>
      </c>
      <c r="C15" s="186" t="s">
        <v>279</v>
      </c>
      <c r="D15" s="189" t="s">
        <v>403</v>
      </c>
      <c r="E15" s="526">
        <v>0</v>
      </c>
      <c r="F15" s="186" t="s">
        <v>280</v>
      </c>
      <c r="G15" s="190" t="s">
        <v>407</v>
      </c>
      <c r="H15" s="630"/>
      <c r="I15" s="65"/>
      <c r="J15" s="65"/>
      <c r="K15" s="65"/>
      <c r="L15" s="65"/>
      <c r="M15" s="65"/>
      <c r="N15" s="65"/>
      <c r="O15" s="65"/>
      <c r="P15" s="65"/>
      <c r="Q15" s="65"/>
      <c r="R15" s="65"/>
      <c r="S15" s="65"/>
      <c r="T15" s="65"/>
    </row>
    <row r="16" spans="1:20" ht="60">
      <c r="A16" s="1083"/>
      <c r="B16" s="1106"/>
      <c r="C16" s="186" t="s">
        <v>282</v>
      </c>
      <c r="D16" s="189" t="s">
        <v>403</v>
      </c>
      <c r="E16" s="525" t="e">
        <f>E10</f>
        <v>#DIV/0!</v>
      </c>
      <c r="F16" s="186" t="s">
        <v>255</v>
      </c>
      <c r="G16" s="187" t="s">
        <v>16</v>
      </c>
      <c r="H16" s="632"/>
      <c r="I16" s="65"/>
      <c r="J16" s="65"/>
      <c r="K16" s="65"/>
      <c r="L16" s="65"/>
      <c r="M16" s="65"/>
      <c r="N16" s="65"/>
      <c r="O16" s="65"/>
      <c r="P16" s="65"/>
      <c r="Q16" s="65"/>
      <c r="R16" s="65"/>
      <c r="S16" s="65"/>
      <c r="T16" s="65"/>
    </row>
    <row r="17" spans="1:20" ht="15">
      <c r="A17" s="1083"/>
      <c r="B17" s="1106"/>
      <c r="C17" s="184" t="s">
        <v>284</v>
      </c>
      <c r="D17" s="189" t="s">
        <v>403</v>
      </c>
      <c r="E17" s="525" t="e">
        <f>(E10*E15)/12</f>
        <v>#DIV/0!</v>
      </c>
      <c r="F17" s="186" t="s">
        <v>264</v>
      </c>
      <c r="G17" s="187" t="s">
        <v>283</v>
      </c>
      <c r="H17" s="632"/>
      <c r="I17" s="65"/>
      <c r="J17" s="65"/>
      <c r="K17" s="65"/>
      <c r="L17" s="65"/>
      <c r="M17" s="65"/>
      <c r="N17" s="65"/>
      <c r="O17" s="65"/>
      <c r="P17" s="65"/>
      <c r="Q17" s="65"/>
      <c r="R17" s="65"/>
      <c r="S17" s="65"/>
      <c r="T17" s="65"/>
    </row>
    <row r="18" spans="1:20" ht="30" customHeight="1">
      <c r="A18" s="1083"/>
      <c r="B18" s="1106"/>
      <c r="C18" s="1107" t="s">
        <v>285</v>
      </c>
      <c r="D18" s="1100" t="s">
        <v>403</v>
      </c>
      <c r="E18" s="525">
        <v>0</v>
      </c>
      <c r="F18" s="186" t="s">
        <v>286</v>
      </c>
      <c r="G18" s="1094" t="s">
        <v>287</v>
      </c>
      <c r="H18" s="962"/>
      <c r="I18" s="65"/>
      <c r="J18" s="65"/>
      <c r="K18" s="65"/>
      <c r="L18" s="65"/>
      <c r="M18" s="65"/>
      <c r="N18" s="65"/>
      <c r="O18" s="65"/>
      <c r="P18" s="65"/>
      <c r="Q18" s="65"/>
      <c r="R18" s="65"/>
      <c r="S18" s="65"/>
      <c r="T18" s="65"/>
    </row>
    <row r="19" spans="1:20" ht="15">
      <c r="A19" s="1083"/>
      <c r="B19" s="1106"/>
      <c r="C19" s="1108"/>
      <c r="D19" s="1101"/>
      <c r="E19" s="525">
        <v>0</v>
      </c>
      <c r="F19" s="186" t="s">
        <v>264</v>
      </c>
      <c r="G19" s="1095"/>
      <c r="H19" s="964"/>
      <c r="I19" s="65"/>
      <c r="J19" s="65"/>
      <c r="K19" s="65"/>
      <c r="L19" s="65"/>
      <c r="M19" s="65"/>
      <c r="N19" s="65"/>
      <c r="O19" s="65"/>
      <c r="P19" s="65"/>
      <c r="Q19" s="65"/>
      <c r="R19" s="65"/>
      <c r="S19" s="65"/>
      <c r="T19" s="65"/>
    </row>
    <row r="20" spans="1:20" ht="15" customHeight="1">
      <c r="A20" s="1083"/>
      <c r="B20" s="1106"/>
      <c r="C20" s="1107" t="s">
        <v>288</v>
      </c>
      <c r="D20" s="1100" t="s">
        <v>403</v>
      </c>
      <c r="E20" s="525">
        <v>0</v>
      </c>
      <c r="F20" s="186" t="s">
        <v>286</v>
      </c>
      <c r="G20" s="1094" t="s">
        <v>289</v>
      </c>
      <c r="H20" s="962"/>
      <c r="I20" s="65"/>
      <c r="J20" s="65"/>
      <c r="K20" s="65"/>
      <c r="L20" s="65"/>
      <c r="M20" s="65"/>
      <c r="N20" s="65"/>
      <c r="O20" s="65"/>
      <c r="P20" s="65"/>
      <c r="Q20" s="65"/>
      <c r="R20" s="65"/>
      <c r="S20" s="65"/>
      <c r="T20" s="65"/>
    </row>
    <row r="21" spans="1:20" ht="15">
      <c r="A21" s="1083"/>
      <c r="B21" s="1106"/>
      <c r="C21" s="1108"/>
      <c r="D21" s="1101"/>
      <c r="E21" s="525">
        <f>E20/12</f>
        <v>0</v>
      </c>
      <c r="F21" s="186" t="s">
        <v>264</v>
      </c>
      <c r="G21" s="1095"/>
      <c r="H21" s="964"/>
      <c r="I21" s="65"/>
      <c r="J21" s="65"/>
      <c r="K21" s="65"/>
      <c r="L21" s="65"/>
      <c r="M21" s="65"/>
      <c r="N21" s="65"/>
      <c r="O21" s="65"/>
      <c r="P21" s="65"/>
      <c r="Q21" s="65"/>
      <c r="R21" s="65"/>
      <c r="S21" s="65"/>
      <c r="T21" s="65"/>
    </row>
    <row r="22" spans="1:20" ht="32.25" customHeight="1">
      <c r="A22" s="1083"/>
      <c r="B22" s="1106"/>
      <c r="C22" s="1107" t="s">
        <v>290</v>
      </c>
      <c r="D22" s="1100" t="s">
        <v>403</v>
      </c>
      <c r="E22" s="527">
        <f>E5*4.5%</f>
        <v>0</v>
      </c>
      <c r="F22" s="186" t="s">
        <v>286</v>
      </c>
      <c r="G22" s="1087" t="s">
        <v>409</v>
      </c>
      <c r="H22" s="1076"/>
      <c r="I22" s="65"/>
      <c r="J22" s="64"/>
      <c r="K22" s="65"/>
      <c r="L22" s="65"/>
      <c r="M22" s="65"/>
      <c r="N22" s="65"/>
      <c r="O22" s="65"/>
      <c r="P22" s="65"/>
      <c r="Q22" s="65"/>
      <c r="R22" s="65"/>
      <c r="S22" s="65"/>
      <c r="T22" s="65"/>
    </row>
    <row r="23" spans="1:20" ht="51.75" customHeight="1">
      <c r="A23" s="1083"/>
      <c r="B23" s="1106"/>
      <c r="C23" s="1108"/>
      <c r="D23" s="1101"/>
      <c r="E23" s="525">
        <f>E22/12</f>
        <v>0</v>
      </c>
      <c r="F23" s="186" t="s">
        <v>264</v>
      </c>
      <c r="G23" s="1088"/>
      <c r="H23" s="972"/>
      <c r="I23" s="65"/>
      <c r="J23" s="65"/>
      <c r="K23" s="65"/>
      <c r="L23" s="65"/>
      <c r="M23" s="65"/>
      <c r="N23" s="65"/>
      <c r="O23" s="65"/>
      <c r="P23" s="65"/>
      <c r="Q23" s="65"/>
      <c r="R23" s="65"/>
      <c r="S23" s="65"/>
      <c r="T23" s="65"/>
    </row>
    <row r="24" spans="1:20" ht="45.75" thickBot="1">
      <c r="A24" s="1083"/>
      <c r="B24" s="1106"/>
      <c r="C24" s="1089" t="s">
        <v>373</v>
      </c>
      <c r="D24" s="1090"/>
      <c r="E24" s="535" t="e">
        <f>E17+E19+E21+E23</f>
        <v>#DIV/0!</v>
      </c>
      <c r="F24" s="193" t="s">
        <v>264</v>
      </c>
      <c r="G24" s="194" t="s">
        <v>292</v>
      </c>
      <c r="H24" s="633"/>
      <c r="I24" s="65"/>
      <c r="J24" s="65"/>
      <c r="K24" s="65"/>
      <c r="L24" s="65"/>
      <c r="M24" s="65"/>
      <c r="N24" s="65"/>
      <c r="O24" s="65"/>
      <c r="P24" s="65"/>
      <c r="Q24" s="65"/>
      <c r="R24" s="65"/>
      <c r="S24" s="65"/>
      <c r="T24" s="65"/>
    </row>
    <row r="25" spans="1:20" ht="41.25" customHeight="1" thickBot="1">
      <c r="A25" s="1084"/>
      <c r="B25" s="1091" t="s">
        <v>423</v>
      </c>
      <c r="C25" s="1092"/>
      <c r="D25" s="1093"/>
      <c r="E25" s="528" t="e">
        <f>(E8)+(E14)+E24</f>
        <v>#DIV/0!</v>
      </c>
      <c r="F25" s="102" t="s">
        <v>264</v>
      </c>
      <c r="G25" s="103" t="s">
        <v>328</v>
      </c>
      <c r="H25" s="634"/>
      <c r="I25" s="65"/>
      <c r="J25" s="65"/>
      <c r="K25" s="65"/>
      <c r="L25" s="65"/>
      <c r="M25" s="65"/>
      <c r="N25" s="65"/>
      <c r="O25" s="65"/>
      <c r="P25" s="65"/>
      <c r="Q25" s="65"/>
      <c r="R25" s="65"/>
      <c r="S25" s="65"/>
      <c r="T25" s="65"/>
    </row>
    <row r="26" spans="1:20" ht="30">
      <c r="A26" s="1102" t="s">
        <v>376</v>
      </c>
      <c r="B26" s="1104" t="s">
        <v>335</v>
      </c>
      <c r="C26" s="196" t="s">
        <v>293</v>
      </c>
      <c r="D26" s="189" t="s">
        <v>404</v>
      </c>
      <c r="E26" s="742">
        <v>0</v>
      </c>
      <c r="F26" s="185" t="s">
        <v>295</v>
      </c>
      <c r="G26" s="198" t="s">
        <v>411</v>
      </c>
      <c r="H26" s="635"/>
      <c r="I26" s="65"/>
      <c r="J26" s="65"/>
      <c r="K26" s="65"/>
      <c r="L26" s="65"/>
      <c r="M26" s="65"/>
      <c r="N26" s="65"/>
      <c r="O26" s="65"/>
      <c r="P26" s="65"/>
      <c r="Q26" s="65"/>
      <c r="R26" s="65"/>
      <c r="S26" s="65"/>
      <c r="T26" s="65"/>
    </row>
    <row r="27" spans="1:20" ht="105">
      <c r="A27" s="1083"/>
      <c r="B27" s="1104"/>
      <c r="C27" s="186" t="s">
        <v>298</v>
      </c>
      <c r="D27" s="184" t="s">
        <v>412</v>
      </c>
      <c r="E27" s="525">
        <f>GASOLINA</f>
        <v>0</v>
      </c>
      <c r="F27" s="184" t="s">
        <v>300</v>
      </c>
      <c r="G27" s="104" t="s">
        <v>347</v>
      </c>
      <c r="H27" s="636"/>
      <c r="I27" s="65"/>
      <c r="J27" s="65"/>
      <c r="K27" s="65"/>
      <c r="L27" s="65"/>
      <c r="M27" s="65"/>
      <c r="N27" s="65"/>
      <c r="O27" s="65"/>
      <c r="P27" s="65"/>
      <c r="Q27" s="65"/>
      <c r="R27" s="65"/>
      <c r="S27" s="65"/>
      <c r="T27" s="65"/>
    </row>
    <row r="28" spans="1:20" ht="45">
      <c r="A28" s="1083"/>
      <c r="B28" s="1104"/>
      <c r="C28" s="193" t="s">
        <v>301</v>
      </c>
      <c r="D28" s="189" t="s">
        <v>404</v>
      </c>
      <c r="E28" s="529">
        <f>E26*E27</f>
        <v>0</v>
      </c>
      <c r="F28" s="184" t="s">
        <v>302</v>
      </c>
      <c r="G28" s="194" t="s">
        <v>303</v>
      </c>
      <c r="H28" s="633"/>
      <c r="I28" s="65"/>
      <c r="J28" s="65"/>
      <c r="K28" s="65"/>
      <c r="L28" s="65"/>
      <c r="M28" s="65"/>
      <c r="N28" s="65"/>
      <c r="O28" s="65"/>
      <c r="P28" s="65"/>
      <c r="Q28" s="65"/>
      <c r="R28" s="65"/>
      <c r="S28" s="65"/>
      <c r="T28" s="65"/>
    </row>
    <row r="29" spans="1:20" ht="30">
      <c r="A29" s="1083"/>
      <c r="B29" s="1104"/>
      <c r="C29" s="193" t="s">
        <v>304</v>
      </c>
      <c r="D29" s="189" t="s">
        <v>404</v>
      </c>
      <c r="E29" s="153">
        <f>TRUNC(40*26,2)</f>
        <v>1040</v>
      </c>
      <c r="F29" s="184" t="s">
        <v>9</v>
      </c>
      <c r="G29" s="194" t="s">
        <v>413</v>
      </c>
      <c r="H29" s="633"/>
      <c r="I29" s="65"/>
      <c r="J29" s="65"/>
      <c r="K29" s="65"/>
      <c r="L29" s="65"/>
      <c r="M29" s="65"/>
      <c r="N29" s="65"/>
      <c r="O29" s="65"/>
      <c r="P29" s="65"/>
      <c r="Q29" s="65"/>
      <c r="R29" s="65"/>
      <c r="S29" s="65"/>
      <c r="T29" s="65"/>
    </row>
    <row r="30" spans="1:20" ht="45" customHeight="1">
      <c r="A30" s="1083"/>
      <c r="B30" s="1104"/>
      <c r="C30" s="193" t="s">
        <v>305</v>
      </c>
      <c r="D30" s="186" t="s">
        <v>404</v>
      </c>
      <c r="E30" s="525">
        <f>TRUNC((E28*E29),2)</f>
        <v>0</v>
      </c>
      <c r="F30" s="184" t="s">
        <v>302</v>
      </c>
      <c r="G30" s="187" t="s">
        <v>306</v>
      </c>
      <c r="H30" s="632"/>
      <c r="I30" s="65"/>
      <c r="J30" s="65"/>
      <c r="K30" s="65"/>
      <c r="L30" s="65"/>
      <c r="M30" s="65"/>
      <c r="N30" s="65"/>
      <c r="O30" s="65"/>
      <c r="P30" s="65"/>
      <c r="Q30" s="65"/>
      <c r="R30" s="65"/>
      <c r="S30" s="65"/>
      <c r="T30" s="65"/>
    </row>
    <row r="31" spans="1:20" ht="28.5" customHeight="1">
      <c r="A31" s="1083"/>
      <c r="B31" s="188" t="s">
        <v>334</v>
      </c>
      <c r="C31" s="186" t="s">
        <v>307</v>
      </c>
      <c r="D31" s="193" t="s">
        <v>403</v>
      </c>
      <c r="E31" s="525">
        <f>SUM(E30:E30)*0.1</f>
        <v>0</v>
      </c>
      <c r="F31" s="184" t="s">
        <v>302</v>
      </c>
      <c r="G31" s="191" t="s">
        <v>308</v>
      </c>
      <c r="H31" s="631"/>
      <c r="I31" s="65"/>
      <c r="J31" s="65"/>
      <c r="K31" s="65"/>
      <c r="L31" s="65"/>
      <c r="M31" s="65"/>
      <c r="N31" s="65"/>
      <c r="O31" s="65"/>
      <c r="P31" s="65"/>
      <c r="Q31" s="65"/>
      <c r="R31" s="65"/>
      <c r="S31" s="65"/>
      <c r="T31" s="65"/>
    </row>
    <row r="32" spans="1:20" ht="60" customHeight="1">
      <c r="A32" s="1083"/>
      <c r="B32" s="1106" t="s">
        <v>333</v>
      </c>
      <c r="C32" s="184" t="s">
        <v>309</v>
      </c>
      <c r="D32" s="193" t="s">
        <v>403</v>
      </c>
      <c r="E32" s="741">
        <v>0</v>
      </c>
      <c r="F32" s="184" t="s">
        <v>255</v>
      </c>
      <c r="G32" s="194" t="s">
        <v>414</v>
      </c>
      <c r="H32" s="633"/>
      <c r="I32" s="65"/>
      <c r="J32" s="65"/>
      <c r="K32" s="65"/>
      <c r="L32" s="65"/>
      <c r="M32" s="65"/>
      <c r="N32" s="65"/>
      <c r="O32" s="65"/>
      <c r="P32" s="65"/>
      <c r="Q32" s="65"/>
      <c r="R32" s="65"/>
      <c r="S32" s="65"/>
      <c r="T32" s="65"/>
    </row>
    <row r="33" spans="1:20" ht="45">
      <c r="A33" s="1083"/>
      <c r="B33" s="1106"/>
      <c r="C33" s="186" t="s">
        <v>313</v>
      </c>
      <c r="D33" s="193" t="s">
        <v>403</v>
      </c>
      <c r="E33" s="530">
        <v>4</v>
      </c>
      <c r="F33" s="199" t="s">
        <v>312</v>
      </c>
      <c r="G33" s="190" t="s">
        <v>415</v>
      </c>
      <c r="H33" s="630"/>
      <c r="I33" s="65"/>
      <c r="J33" s="65"/>
      <c r="K33" s="65"/>
      <c r="L33" s="65"/>
      <c r="M33" s="65"/>
      <c r="N33" s="65"/>
      <c r="O33" s="65"/>
      <c r="P33" s="65"/>
      <c r="Q33" s="65"/>
      <c r="R33" s="65"/>
      <c r="S33" s="65"/>
      <c r="T33" s="65"/>
    </row>
    <row r="34" spans="1:20" ht="90">
      <c r="A34" s="1083"/>
      <c r="B34" s="1106"/>
      <c r="C34" s="186" t="s">
        <v>316</v>
      </c>
      <c r="D34" s="193" t="s">
        <v>403</v>
      </c>
      <c r="E34" s="530">
        <v>30000</v>
      </c>
      <c r="F34" s="186" t="s">
        <v>163</v>
      </c>
      <c r="G34" s="197" t="s">
        <v>416</v>
      </c>
      <c r="H34" s="743"/>
      <c r="I34" s="65"/>
      <c r="J34" s="65"/>
      <c r="K34" s="65"/>
      <c r="L34" s="65"/>
      <c r="M34" s="65"/>
      <c r="N34" s="65"/>
      <c r="O34" s="65"/>
      <c r="P34" s="65"/>
      <c r="Q34" s="65"/>
      <c r="R34" s="65"/>
      <c r="S34" s="65"/>
      <c r="T34" s="65"/>
    </row>
    <row r="35" spans="1:20" ht="45">
      <c r="A35" s="1083"/>
      <c r="B35" s="1106"/>
      <c r="C35" s="186" t="s">
        <v>418</v>
      </c>
      <c r="D35" s="193" t="s">
        <v>403</v>
      </c>
      <c r="E35" s="525">
        <f>TRUNC(((1.2*(E32)*E33))/(E34),2)</f>
        <v>0</v>
      </c>
      <c r="F35" s="186" t="s">
        <v>319</v>
      </c>
      <c r="G35" s="190" t="s">
        <v>417</v>
      </c>
      <c r="H35" s="630"/>
      <c r="I35" s="65"/>
      <c r="J35" s="65"/>
      <c r="K35" s="65"/>
      <c r="L35" s="65"/>
      <c r="M35" s="65"/>
      <c r="N35" s="65"/>
      <c r="O35" s="65"/>
      <c r="P35" s="65"/>
      <c r="Q35" s="65"/>
      <c r="R35" s="65"/>
      <c r="S35" s="65"/>
      <c r="T35" s="65"/>
    </row>
    <row r="36" spans="1:20" ht="45">
      <c r="A36" s="1083"/>
      <c r="B36" s="1106"/>
      <c r="C36" s="186" t="s">
        <v>321</v>
      </c>
      <c r="D36" s="193" t="s">
        <v>403</v>
      </c>
      <c r="E36" s="154">
        <f>E29</f>
        <v>1040</v>
      </c>
      <c r="F36" s="186" t="s">
        <v>322</v>
      </c>
      <c r="G36" s="191" t="s">
        <v>16</v>
      </c>
      <c r="H36" s="631"/>
      <c r="I36" s="65"/>
      <c r="J36" s="65"/>
      <c r="K36" s="65"/>
      <c r="L36" s="65"/>
      <c r="M36" s="65"/>
      <c r="N36" s="65"/>
      <c r="O36" s="65"/>
      <c r="P36" s="65"/>
      <c r="Q36" s="65"/>
      <c r="R36" s="65"/>
      <c r="S36" s="65"/>
      <c r="T36" s="65"/>
    </row>
    <row r="37" spans="1:20" ht="30">
      <c r="A37" s="1083"/>
      <c r="B37" s="1085"/>
      <c r="C37" s="186" t="s">
        <v>419</v>
      </c>
      <c r="D37" s="193" t="s">
        <v>403</v>
      </c>
      <c r="E37" s="525">
        <f>TRUNC(E36*E35,2)</f>
        <v>0</v>
      </c>
      <c r="F37" s="186" t="s">
        <v>264</v>
      </c>
      <c r="G37" s="191" t="s">
        <v>420</v>
      </c>
      <c r="H37" s="631"/>
      <c r="I37" s="65"/>
      <c r="J37" s="65"/>
      <c r="K37" s="65"/>
      <c r="L37" s="65"/>
      <c r="M37" s="65"/>
      <c r="N37" s="65"/>
      <c r="O37" s="65"/>
      <c r="P37" s="65"/>
      <c r="Q37" s="65"/>
      <c r="R37" s="65"/>
      <c r="S37" s="65"/>
      <c r="T37" s="65"/>
    </row>
    <row r="38" spans="1:20" ht="105">
      <c r="A38" s="1083"/>
      <c r="B38" s="1106" t="s">
        <v>339</v>
      </c>
      <c r="C38" s="186" t="s">
        <v>421</v>
      </c>
      <c r="D38" s="193" t="s">
        <v>403</v>
      </c>
      <c r="E38" s="534">
        <f>(E5)-(E32*4)</f>
        <v>0</v>
      </c>
      <c r="F38" s="186" t="s">
        <v>255</v>
      </c>
      <c r="G38" s="190" t="s">
        <v>343</v>
      </c>
      <c r="H38" s="630"/>
      <c r="I38" s="65"/>
      <c r="J38" s="65"/>
      <c r="K38" s="65"/>
      <c r="L38" s="65"/>
      <c r="M38" s="65"/>
      <c r="N38" s="65"/>
      <c r="O38" s="65"/>
      <c r="P38" s="65"/>
      <c r="Q38" s="65"/>
      <c r="R38" s="65"/>
      <c r="S38" s="65"/>
      <c r="T38" s="65"/>
    </row>
    <row r="39" spans="1:20" ht="60">
      <c r="A39" s="1083"/>
      <c r="B39" s="1106"/>
      <c r="C39" s="186" t="s">
        <v>326</v>
      </c>
      <c r="D39" s="193" t="s">
        <v>403</v>
      </c>
      <c r="E39" s="523">
        <v>0</v>
      </c>
      <c r="F39" s="186" t="s">
        <v>16</v>
      </c>
      <c r="G39" s="190" t="s">
        <v>342</v>
      </c>
      <c r="H39" s="630"/>
      <c r="I39" s="65"/>
      <c r="J39" s="65"/>
      <c r="K39" s="65"/>
      <c r="L39" s="65"/>
      <c r="M39" s="65"/>
      <c r="N39" s="65"/>
      <c r="O39" s="65"/>
      <c r="P39" s="65"/>
      <c r="Q39" s="65"/>
      <c r="R39" s="65"/>
      <c r="S39" s="65"/>
      <c r="T39" s="65"/>
    </row>
    <row r="40" spans="1:20" ht="180.75" thickBot="1">
      <c r="A40" s="1083"/>
      <c r="B40" s="1106"/>
      <c r="C40" s="193" t="s">
        <v>327</v>
      </c>
      <c r="D40" s="193" t="s">
        <v>403</v>
      </c>
      <c r="E40" s="529" t="e">
        <f>TRUNC((E38*E39)/E7,2)</f>
        <v>#DIV/0!</v>
      </c>
      <c r="F40" s="192" t="s">
        <v>264</v>
      </c>
      <c r="G40" s="194" t="s">
        <v>341</v>
      </c>
      <c r="H40" s="633"/>
      <c r="I40" s="65"/>
      <c r="J40" s="65"/>
      <c r="K40" s="65"/>
      <c r="L40" s="65"/>
      <c r="M40" s="65"/>
      <c r="N40" s="65"/>
      <c r="O40" s="65"/>
      <c r="P40" s="65"/>
      <c r="Q40" s="65"/>
      <c r="R40" s="65"/>
      <c r="S40" s="65"/>
      <c r="T40" s="65"/>
    </row>
    <row r="41" spans="1:20" ht="35.25" customHeight="1" thickBot="1">
      <c r="A41" s="1103"/>
      <c r="B41" s="1109" t="s">
        <v>424</v>
      </c>
      <c r="C41" s="1110"/>
      <c r="D41" s="1111"/>
      <c r="E41" s="531" t="e">
        <f>E30+E31+E37+E40</f>
        <v>#DIV/0!</v>
      </c>
      <c r="F41" s="106" t="s">
        <v>264</v>
      </c>
      <c r="G41" s="107" t="s">
        <v>330</v>
      </c>
      <c r="H41" s="637"/>
      <c r="I41" s="65"/>
      <c r="J41" s="65"/>
      <c r="K41" s="65"/>
      <c r="L41" s="65"/>
      <c r="M41" s="65"/>
      <c r="N41" s="65"/>
      <c r="O41" s="65"/>
      <c r="P41" s="65"/>
      <c r="Q41" s="65"/>
      <c r="R41" s="65"/>
      <c r="S41" s="65"/>
      <c r="T41" s="65"/>
    </row>
    <row r="42" spans="1:20" ht="18.75">
      <c r="A42" s="1096" t="s">
        <v>425</v>
      </c>
      <c r="B42" s="1097"/>
      <c r="C42" s="1097"/>
      <c r="D42" s="1097"/>
      <c r="E42" s="532" t="e">
        <f>(E25+E41)</f>
        <v>#DIV/0!</v>
      </c>
      <c r="F42" s="108" t="s">
        <v>264</v>
      </c>
      <c r="G42" s="113" t="s">
        <v>422</v>
      </c>
      <c r="H42" s="638"/>
      <c r="I42" s="65"/>
      <c r="J42" s="65"/>
      <c r="K42" s="65"/>
      <c r="L42" s="65"/>
      <c r="M42" s="65"/>
      <c r="N42" s="65"/>
      <c r="O42" s="65"/>
      <c r="P42" s="65"/>
      <c r="Q42" s="65"/>
      <c r="R42" s="65"/>
      <c r="S42" s="65"/>
      <c r="T42" s="65"/>
    </row>
    <row r="43" spans="1:20" ht="19.5" thickBot="1">
      <c r="A43" s="1098"/>
      <c r="B43" s="1099"/>
      <c r="C43" s="1099"/>
      <c r="D43" s="1099"/>
      <c r="E43" s="533" t="e">
        <f>E42/E36</f>
        <v>#DIV/0!</v>
      </c>
      <c r="F43" s="109" t="s">
        <v>319</v>
      </c>
      <c r="G43" s="110" t="s">
        <v>352</v>
      </c>
      <c r="H43" s="639"/>
      <c r="I43" s="65"/>
      <c r="J43" s="65"/>
      <c r="K43" s="65"/>
      <c r="L43" s="65"/>
      <c r="M43" s="65"/>
      <c r="N43" s="65"/>
      <c r="O43" s="65"/>
      <c r="P43" s="65"/>
      <c r="Q43" s="65"/>
      <c r="R43" s="65"/>
      <c r="S43" s="65"/>
      <c r="T43" s="65"/>
    </row>
    <row r="44" spans="1:20" ht="15">
      <c r="A44" s="105"/>
      <c r="B44" s="111"/>
      <c r="C44" s="111"/>
      <c r="D44" s="111"/>
      <c r="E44" s="112"/>
      <c r="F44" s="111"/>
      <c r="G44" s="111"/>
      <c r="H44" s="65"/>
      <c r="I44" s="65"/>
      <c r="J44" s="65"/>
      <c r="K44" s="65"/>
      <c r="L44" s="65"/>
      <c r="M44" s="65"/>
      <c r="N44" s="65"/>
      <c r="O44" s="65"/>
      <c r="P44" s="65"/>
      <c r="Q44" s="65"/>
      <c r="R44" s="65"/>
      <c r="S44" s="65"/>
      <c r="T44" s="65"/>
    </row>
    <row r="45" spans="1:20">
      <c r="G45" s="235"/>
    </row>
  </sheetData>
  <sheetProtection algorithmName="SHA-512" hashValue="4O2c5TCq7H4RChoUjcc7VWaweDXuZ1wJg1FaVSuBSq03q/7xjS8R9RPz48+CMINZzV5c6AasiufZpICCJyXwDw==" saltValue="9CPW0tbD3OLrgZD0xAjAfA==" spinCount="100000" sheet="1" objects="1" scenarios="1"/>
  <mergeCells count="27">
    <mergeCell ref="A42:D43"/>
    <mergeCell ref="D22:D23"/>
    <mergeCell ref="A26:A41"/>
    <mergeCell ref="B26:B30"/>
    <mergeCell ref="B15:B24"/>
    <mergeCell ref="C18:C19"/>
    <mergeCell ref="D18:D19"/>
    <mergeCell ref="C20:C21"/>
    <mergeCell ref="D20:D21"/>
    <mergeCell ref="C22:C23"/>
    <mergeCell ref="B32:B37"/>
    <mergeCell ref="B38:B40"/>
    <mergeCell ref="B41:D41"/>
    <mergeCell ref="H9:H11"/>
    <mergeCell ref="H18:H19"/>
    <mergeCell ref="H20:H21"/>
    <mergeCell ref="H22:H23"/>
    <mergeCell ref="A1:H3"/>
    <mergeCell ref="G9:G11"/>
    <mergeCell ref="A5:A25"/>
    <mergeCell ref="B5:B8"/>
    <mergeCell ref="B9:B14"/>
    <mergeCell ref="G22:G23"/>
    <mergeCell ref="C24:D24"/>
    <mergeCell ref="B25:D25"/>
    <mergeCell ref="G18:G19"/>
    <mergeCell ref="G20:G21"/>
  </mergeCells>
  <pageMargins left="0.511811024" right="0.511811024" top="0.78740157499999996" bottom="0.78740157499999996" header="0.31496062000000002" footer="0.31496062000000002"/>
  <pageSetup paperSize="9" scale="47" orientation="portrait" r:id="rId1"/>
  <colBreaks count="1" manualBreakCount="1">
    <brk id="8" max="1048575" man="1"/>
  </colBreaks>
  <drawing r:id="rId2"/>
  <legacyDrawing r:id="rId3"/>
  <oleObjects>
    <mc:AlternateContent xmlns:mc="http://schemas.openxmlformats.org/markup-compatibility/2006">
      <mc:Choice Requires="x14">
        <oleObject progId="CorelDraw.Graphic.18" shapeId="23553" r:id="rId4">
          <objectPr defaultSize="0" autoPict="0" r:id="rId5">
            <anchor moveWithCells="1">
              <from>
                <xdr:col>2</xdr:col>
                <xdr:colOff>1276350</xdr:colOff>
                <xdr:row>0</xdr:row>
                <xdr:rowOff>123825</xdr:rowOff>
              </from>
              <to>
                <xdr:col>3</xdr:col>
                <xdr:colOff>409575</xdr:colOff>
                <xdr:row>2</xdr:row>
                <xdr:rowOff>295275</xdr:rowOff>
              </to>
            </anchor>
          </objectPr>
        </oleObject>
      </mc:Choice>
      <mc:Fallback>
        <oleObject progId="CorelDraw.Graphic.18" shapeId="23553"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C3E3-3EE0-4ABF-AF02-C2867D10C43A}">
  <sheetPr>
    <tabColor theme="5" tint="0.79998168889431442"/>
    <pageSetUpPr fitToPage="1"/>
  </sheetPr>
  <dimension ref="A1:L85"/>
  <sheetViews>
    <sheetView view="pageBreakPreview" zoomScaleNormal="100" zoomScaleSheetLayoutView="100" workbookViewId="0">
      <selection activeCell="G63" sqref="G63"/>
    </sheetView>
  </sheetViews>
  <sheetFormatPr defaultColWidth="9.125" defaultRowHeight="13.5" customHeight="1"/>
  <cols>
    <col min="1" max="1" width="56.75" style="37" customWidth="1"/>
    <col min="2" max="2" width="4.875" style="37" bestFit="1" customWidth="1"/>
    <col min="3" max="3" width="15.25" style="37" bestFit="1" customWidth="1"/>
    <col min="4" max="4" width="7.625" style="37" bestFit="1" customWidth="1"/>
    <col min="5" max="5" width="15.25" style="40" bestFit="1" customWidth="1"/>
    <col min="6" max="6" width="4.625" style="37" bestFit="1" customWidth="1"/>
    <col min="7" max="7" width="19.25" style="37" bestFit="1" customWidth="1"/>
    <col min="8" max="10" width="9.125" style="37"/>
    <col min="11" max="11" width="12.125" style="37" bestFit="1" customWidth="1"/>
    <col min="12" max="12" width="14" style="37" bestFit="1" customWidth="1"/>
    <col min="13" max="16384" width="9.125" style="37"/>
  </cols>
  <sheetData>
    <row r="1" spans="1:12" ht="71.25" customHeight="1" thickBot="1">
      <c r="A1" s="1045" t="s">
        <v>121</v>
      </c>
      <c r="B1" s="1046"/>
      <c r="C1" s="1046"/>
      <c r="D1" s="1046"/>
      <c r="E1" s="1046"/>
      <c r="F1" s="1046"/>
      <c r="G1" s="1047"/>
    </row>
    <row r="2" spans="1:12" ht="5.25" customHeight="1">
      <c r="A2" s="291"/>
      <c r="B2" s="69"/>
      <c r="C2" s="68"/>
      <c r="D2" s="69"/>
      <c r="E2" s="292"/>
      <c r="F2" s="69"/>
      <c r="G2" s="293"/>
      <c r="H2" s="22"/>
      <c r="I2" s="24"/>
    </row>
    <row r="3" spans="1:12" ht="15.75">
      <c r="A3" s="1117" t="s">
        <v>246</v>
      </c>
      <c r="B3" s="1118"/>
      <c r="C3" s="1118"/>
      <c r="D3" s="1118"/>
      <c r="E3" s="1118"/>
      <c r="F3" s="1118"/>
      <c r="G3" s="1119"/>
    </row>
    <row r="4" spans="1:12" ht="12.75" customHeight="1">
      <c r="A4" s="294" t="s">
        <v>21</v>
      </c>
      <c r="B4" s="71"/>
      <c r="C4" s="243">
        <v>1</v>
      </c>
      <c r="D4" s="71" t="s">
        <v>22</v>
      </c>
      <c r="E4" s="295">
        <v>0</v>
      </c>
      <c r="F4" s="71" t="s">
        <v>23</v>
      </c>
      <c r="G4" s="296">
        <f t="shared" ref="G4:G9" si="0">ROUND(C4*E4,2)</f>
        <v>0</v>
      </c>
      <c r="H4" s="22"/>
    </row>
    <row r="5" spans="1:12" ht="12.75" customHeight="1">
      <c r="A5" s="294" t="s">
        <v>217</v>
      </c>
      <c r="B5" s="71"/>
      <c r="C5" s="241">
        <v>0</v>
      </c>
      <c r="D5" s="71" t="s">
        <v>22</v>
      </c>
      <c r="E5" s="295">
        <v>0</v>
      </c>
      <c r="F5" s="71" t="s">
        <v>23</v>
      </c>
      <c r="G5" s="296">
        <f t="shared" si="0"/>
        <v>0</v>
      </c>
      <c r="H5" s="23"/>
    </row>
    <row r="6" spans="1:12" ht="12.75" customHeight="1">
      <c r="A6" s="294" t="s">
        <v>25</v>
      </c>
      <c r="B6" s="71"/>
      <c r="C6" s="242">
        <v>0</v>
      </c>
      <c r="D6" s="71" t="s">
        <v>22</v>
      </c>
      <c r="E6" s="295">
        <f>ROUND((SUM(G4:G5)/220)*1.5,2)</f>
        <v>0</v>
      </c>
      <c r="F6" s="71" t="s">
        <v>23</v>
      </c>
      <c r="G6" s="296">
        <f t="shared" si="0"/>
        <v>0</v>
      </c>
      <c r="H6" s="24"/>
    </row>
    <row r="7" spans="1:12" ht="12.75" customHeight="1">
      <c r="A7" s="294" t="s">
        <v>26</v>
      </c>
      <c r="B7" s="71"/>
      <c r="C7" s="242">
        <v>0</v>
      </c>
      <c r="D7" s="71" t="s">
        <v>22</v>
      </c>
      <c r="E7" s="295">
        <f>ROUND((SUM(G4:G5)/220)*2,2)</f>
        <v>0</v>
      </c>
      <c r="F7" s="71" t="s">
        <v>23</v>
      </c>
      <c r="G7" s="296">
        <f t="shared" si="0"/>
        <v>0</v>
      </c>
      <c r="H7" s="23"/>
    </row>
    <row r="8" spans="1:12" ht="12.75" customHeight="1">
      <c r="A8" s="294" t="s">
        <v>27</v>
      </c>
      <c r="B8" s="71"/>
      <c r="C8" s="242">
        <v>0</v>
      </c>
      <c r="D8" s="71" t="s">
        <v>22</v>
      </c>
      <c r="E8" s="295">
        <f>(SUM(G4:G5)/220)*0.2</f>
        <v>0</v>
      </c>
      <c r="F8" s="71" t="s">
        <v>23</v>
      </c>
      <c r="G8" s="296">
        <f t="shared" si="0"/>
        <v>0</v>
      </c>
      <c r="H8" s="23"/>
      <c r="L8" s="39"/>
    </row>
    <row r="9" spans="1:12" ht="12.75" customHeight="1">
      <c r="A9" s="294" t="s">
        <v>28</v>
      </c>
      <c r="B9" s="71"/>
      <c r="C9" s="246">
        <f>'ENCARGOS '!encargos</f>
        <v>0</v>
      </c>
      <c r="D9" s="71" t="s">
        <v>22</v>
      </c>
      <c r="E9" s="295">
        <f>SUM(G4:G8)</f>
        <v>0</v>
      </c>
      <c r="F9" s="71" t="s">
        <v>23</v>
      </c>
      <c r="G9" s="296">
        <f t="shared" si="0"/>
        <v>0</v>
      </c>
      <c r="H9" s="23"/>
    </row>
    <row r="10" spans="1:12" ht="12.75" customHeight="1">
      <c r="A10" s="291" t="s">
        <v>29</v>
      </c>
      <c r="B10" s="71"/>
      <c r="C10" s="249"/>
      <c r="D10" s="71"/>
      <c r="E10" s="297"/>
      <c r="F10" s="71"/>
      <c r="G10" s="298">
        <f>SUM(G4:G9)</f>
        <v>0</v>
      </c>
      <c r="H10" s="23"/>
    </row>
    <row r="11" spans="1:12" ht="12.75" customHeight="1">
      <c r="A11" s="294" t="s">
        <v>30</v>
      </c>
      <c r="B11" s="71"/>
      <c r="C11" s="243">
        <v>1</v>
      </c>
      <c r="D11" s="71" t="s">
        <v>22</v>
      </c>
      <c r="E11" s="295">
        <v>0</v>
      </c>
      <c r="F11" s="71" t="s">
        <v>23</v>
      </c>
      <c r="G11" s="296">
        <f t="shared" ref="G11:G18" si="1">ROUND(C11*E11,2)</f>
        <v>0</v>
      </c>
      <c r="H11" s="23"/>
    </row>
    <row r="12" spans="1:12" ht="12.75" customHeight="1">
      <c r="A12" s="299" t="s">
        <v>31</v>
      </c>
      <c r="B12" s="74"/>
      <c r="C12" s="243">
        <v>1</v>
      </c>
      <c r="D12" s="71" t="s">
        <v>22</v>
      </c>
      <c r="E12" s="295">
        <v>0</v>
      </c>
      <c r="F12" s="71" t="s">
        <v>23</v>
      </c>
      <c r="G12" s="296">
        <f>E12*C12</f>
        <v>0</v>
      </c>
      <c r="H12" s="25"/>
    </row>
    <row r="13" spans="1:12" ht="12.75" customHeight="1">
      <c r="A13" s="294" t="s">
        <v>107</v>
      </c>
      <c r="B13" s="71"/>
      <c r="C13" s="256">
        <f>1/12</f>
        <v>8.3333333333333329E-2</v>
      </c>
      <c r="D13" s="71" t="s">
        <v>22</v>
      </c>
      <c r="E13" s="295">
        <v>0</v>
      </c>
      <c r="F13" s="71" t="s">
        <v>23</v>
      </c>
      <c r="G13" s="296">
        <f>ROUND(C13*E13,2)</f>
        <v>0</v>
      </c>
      <c r="H13" s="23"/>
    </row>
    <row r="14" spans="1:12" ht="12.75" customHeight="1">
      <c r="A14" s="299" t="s">
        <v>33</v>
      </c>
      <c r="B14" s="74"/>
      <c r="C14" s="256">
        <f>1/12</f>
        <v>8.3333333333333329E-2</v>
      </c>
      <c r="D14" s="71" t="s">
        <v>22</v>
      </c>
      <c r="E14" s="295">
        <v>0</v>
      </c>
      <c r="F14" s="71" t="s">
        <v>23</v>
      </c>
      <c r="G14" s="296">
        <f>ROUND(C14*E14,2)</f>
        <v>0</v>
      </c>
      <c r="H14" s="25"/>
    </row>
    <row r="15" spans="1:12" ht="12.75" customHeight="1">
      <c r="A15" s="294" t="s">
        <v>34</v>
      </c>
      <c r="B15" s="71"/>
      <c r="C15" s="243">
        <v>0</v>
      </c>
      <c r="D15" s="71" t="s">
        <v>22</v>
      </c>
      <c r="E15" s="295">
        <v>0</v>
      </c>
      <c r="F15" s="71" t="s">
        <v>23</v>
      </c>
      <c r="G15" s="296">
        <f t="shared" si="1"/>
        <v>0</v>
      </c>
      <c r="H15" s="25"/>
    </row>
    <row r="16" spans="1:12" ht="12.75" customHeight="1">
      <c r="A16" s="294" t="s">
        <v>35</v>
      </c>
      <c r="B16" s="71"/>
      <c r="C16" s="243">
        <v>0</v>
      </c>
      <c r="D16" s="71" t="s">
        <v>22</v>
      </c>
      <c r="E16" s="295">
        <v>0</v>
      </c>
      <c r="F16" s="71" t="s">
        <v>23</v>
      </c>
      <c r="G16" s="296">
        <f t="shared" si="1"/>
        <v>0</v>
      </c>
      <c r="H16" s="23"/>
    </row>
    <row r="17" spans="1:8" ht="12.75" customHeight="1">
      <c r="A17" s="294" t="s">
        <v>36</v>
      </c>
      <c r="B17" s="71"/>
      <c r="C17" s="243">
        <v>0</v>
      </c>
      <c r="D17" s="71" t="s">
        <v>22</v>
      </c>
      <c r="E17" s="295">
        <v>0</v>
      </c>
      <c r="F17" s="71" t="s">
        <v>23</v>
      </c>
      <c r="G17" s="296">
        <f t="shared" si="1"/>
        <v>0</v>
      </c>
      <c r="H17" s="23"/>
    </row>
    <row r="18" spans="1:8" ht="12.75" customHeight="1">
      <c r="A18" s="294" t="s">
        <v>37</v>
      </c>
      <c r="B18" s="71"/>
      <c r="C18" s="243">
        <v>0</v>
      </c>
      <c r="D18" s="71" t="s">
        <v>22</v>
      </c>
      <c r="E18" s="295">
        <v>0</v>
      </c>
      <c r="F18" s="71" t="s">
        <v>23</v>
      </c>
      <c r="G18" s="296">
        <f t="shared" si="1"/>
        <v>0</v>
      </c>
      <c r="H18" s="23"/>
    </row>
    <row r="19" spans="1:8" ht="12.75" customHeight="1">
      <c r="A19" s="299" t="s">
        <v>38</v>
      </c>
      <c r="B19" s="74"/>
      <c r="C19" s="244">
        <v>0</v>
      </c>
      <c r="D19" s="71" t="s">
        <v>22</v>
      </c>
      <c r="E19" s="295">
        <v>0</v>
      </c>
      <c r="F19" s="71" t="s">
        <v>23</v>
      </c>
      <c r="G19" s="296">
        <f>IF(E4*0.06&lt;C19*E19,ROUND(C19*E19,2)-0.06*E4,0)</f>
        <v>0</v>
      </c>
      <c r="H19" s="24"/>
    </row>
    <row r="20" spans="1:8" ht="12.75" customHeight="1">
      <c r="A20" s="300" t="s">
        <v>39</v>
      </c>
      <c r="B20" s="75"/>
      <c r="C20" s="301">
        <v>0</v>
      </c>
      <c r="D20" s="75" t="s">
        <v>22</v>
      </c>
      <c r="E20" s="295">
        <v>0</v>
      </c>
      <c r="F20" s="75" t="s">
        <v>23</v>
      </c>
      <c r="G20" s="302">
        <f>ROUND(C20*E20,2)</f>
        <v>0</v>
      </c>
      <c r="H20" s="23"/>
    </row>
    <row r="21" spans="1:8" ht="13.5" customHeight="1">
      <c r="A21" s="303" t="s">
        <v>40</v>
      </c>
      <c r="B21" s="77"/>
      <c r="C21" s="78"/>
      <c r="D21" s="77"/>
      <c r="E21" s="304"/>
      <c r="F21" s="77"/>
      <c r="G21" s="305">
        <f>SUM(G10:G20)</f>
        <v>0</v>
      </c>
      <c r="H21" s="22"/>
    </row>
    <row r="22" spans="1:8" ht="15">
      <c r="A22" s="306"/>
      <c r="B22" s="80"/>
      <c r="C22" s="80"/>
      <c r="D22" s="80"/>
      <c r="E22" s="307"/>
      <c r="F22" s="80"/>
      <c r="G22" s="308"/>
    </row>
    <row r="23" spans="1:8" ht="17.25" customHeight="1">
      <c r="A23" s="1114" t="s">
        <v>369</v>
      </c>
      <c r="B23" s="1115"/>
      <c r="C23" s="1115"/>
      <c r="D23" s="1115"/>
      <c r="E23" s="1115"/>
      <c r="F23" s="1115"/>
      <c r="G23" s="1116"/>
    </row>
    <row r="24" spans="1:8" ht="12.6" customHeight="1">
      <c r="A24" s="309" t="s">
        <v>21</v>
      </c>
      <c r="B24" s="81"/>
      <c r="C24" s="243">
        <v>1</v>
      </c>
      <c r="D24" s="81" t="s">
        <v>22</v>
      </c>
      <c r="E24" s="310">
        <v>0</v>
      </c>
      <c r="F24" s="81" t="s">
        <v>23</v>
      </c>
      <c r="G24" s="311">
        <f t="shared" ref="G24:G29" si="2">ROUND(C24*E24,2)</f>
        <v>0</v>
      </c>
    </row>
    <row r="25" spans="1:8" ht="12.6" customHeight="1">
      <c r="A25" s="294" t="s">
        <v>24</v>
      </c>
      <c r="B25" s="71"/>
      <c r="C25" s="255">
        <v>0</v>
      </c>
      <c r="D25" s="71" t="s">
        <v>22</v>
      </c>
      <c r="E25" s="295">
        <v>0</v>
      </c>
      <c r="F25" s="71" t="s">
        <v>23</v>
      </c>
      <c r="G25" s="296">
        <f>ROUND(C25*E25,2)</f>
        <v>0</v>
      </c>
    </row>
    <row r="26" spans="1:8" ht="12.6" customHeight="1">
      <c r="A26" s="294" t="s">
        <v>25</v>
      </c>
      <c r="B26" s="71"/>
      <c r="C26" s="242">
        <v>0</v>
      </c>
      <c r="D26" s="71" t="s">
        <v>22</v>
      </c>
      <c r="E26" s="295">
        <f>ROUND((SUM(G24:G25)/220)*1.5,2)</f>
        <v>0</v>
      </c>
      <c r="F26" s="71" t="s">
        <v>23</v>
      </c>
      <c r="G26" s="296">
        <f t="shared" si="2"/>
        <v>0</v>
      </c>
    </row>
    <row r="27" spans="1:8" ht="12.6" customHeight="1">
      <c r="A27" s="294" t="s">
        <v>26</v>
      </c>
      <c r="B27" s="71"/>
      <c r="C27" s="242">
        <v>0</v>
      </c>
      <c r="D27" s="71" t="s">
        <v>22</v>
      </c>
      <c r="E27" s="295">
        <f>ROUND((SUM(G24:G25)/220)*2,2)</f>
        <v>0</v>
      </c>
      <c r="F27" s="71" t="s">
        <v>23</v>
      </c>
      <c r="G27" s="296">
        <f t="shared" si="2"/>
        <v>0</v>
      </c>
    </row>
    <row r="28" spans="1:8" ht="12.6" customHeight="1">
      <c r="A28" s="294" t="s">
        <v>27</v>
      </c>
      <c r="B28" s="71"/>
      <c r="C28" s="242">
        <v>0</v>
      </c>
      <c r="D28" s="71" t="s">
        <v>22</v>
      </c>
      <c r="E28" s="295">
        <f>(SUM(G24:G25)/220)*0.2</f>
        <v>0</v>
      </c>
      <c r="F28" s="71" t="s">
        <v>23</v>
      </c>
      <c r="G28" s="296">
        <f t="shared" si="2"/>
        <v>0</v>
      </c>
    </row>
    <row r="29" spans="1:8" ht="12.6" customHeight="1">
      <c r="A29" s="294" t="s">
        <v>28</v>
      </c>
      <c r="B29" s="71"/>
      <c r="C29" s="246">
        <f>'ENCARGOS '!encargos</f>
        <v>0</v>
      </c>
      <c r="D29" s="71" t="s">
        <v>22</v>
      </c>
      <c r="E29" s="295">
        <f>SUM(G24:G28)</f>
        <v>0</v>
      </c>
      <c r="F29" s="71" t="s">
        <v>23</v>
      </c>
      <c r="G29" s="296">
        <f t="shared" si="2"/>
        <v>0</v>
      </c>
    </row>
    <row r="30" spans="1:8" ht="12.6" customHeight="1">
      <c r="A30" s="291" t="s">
        <v>29</v>
      </c>
      <c r="B30" s="71"/>
      <c r="C30" s="249"/>
      <c r="D30" s="71"/>
      <c r="E30" s="297"/>
      <c r="F30" s="71"/>
      <c r="G30" s="298">
        <f>SUM(G24:G29)</f>
        <v>0</v>
      </c>
    </row>
    <row r="31" spans="1:8" ht="12.6" customHeight="1">
      <c r="A31" s="294" t="s">
        <v>30</v>
      </c>
      <c r="B31" s="71"/>
      <c r="C31" s="243">
        <v>1</v>
      </c>
      <c r="D31" s="71" t="s">
        <v>22</v>
      </c>
      <c r="E31" s="295">
        <v>0</v>
      </c>
      <c r="F31" s="71" t="s">
        <v>23</v>
      </c>
      <c r="G31" s="296">
        <f t="shared" ref="G31:G38" si="3">ROUND(C31*E31,2)</f>
        <v>0</v>
      </c>
    </row>
    <row r="32" spans="1:8" ht="12.6" customHeight="1">
      <c r="A32" s="299" t="s">
        <v>31</v>
      </c>
      <c r="B32" s="74"/>
      <c r="C32" s="243">
        <v>1</v>
      </c>
      <c r="D32" s="71" t="s">
        <v>22</v>
      </c>
      <c r="E32" s="295">
        <v>0</v>
      </c>
      <c r="F32" s="71" t="s">
        <v>23</v>
      </c>
      <c r="G32" s="296">
        <f t="shared" si="3"/>
        <v>0</v>
      </c>
    </row>
    <row r="33" spans="1:8" ht="12.6" customHeight="1">
      <c r="A33" s="294" t="s">
        <v>32</v>
      </c>
      <c r="B33" s="71"/>
      <c r="C33" s="256">
        <f>1/12</f>
        <v>8.3333333333333329E-2</v>
      </c>
      <c r="D33" s="71" t="s">
        <v>22</v>
      </c>
      <c r="E33" s="295">
        <v>0</v>
      </c>
      <c r="F33" s="71" t="s">
        <v>23</v>
      </c>
      <c r="G33" s="296">
        <f t="shared" si="3"/>
        <v>0</v>
      </c>
    </row>
    <row r="34" spans="1:8" ht="12.6" customHeight="1">
      <c r="A34" s="299" t="s">
        <v>33</v>
      </c>
      <c r="B34" s="74"/>
      <c r="C34" s="256">
        <f>1/12</f>
        <v>8.3333333333333329E-2</v>
      </c>
      <c r="D34" s="71" t="s">
        <v>22</v>
      </c>
      <c r="E34" s="295">
        <v>0</v>
      </c>
      <c r="F34" s="71" t="s">
        <v>23</v>
      </c>
      <c r="G34" s="296">
        <f t="shared" si="3"/>
        <v>0</v>
      </c>
    </row>
    <row r="35" spans="1:8" ht="12.6" customHeight="1">
      <c r="A35" s="294" t="s">
        <v>34</v>
      </c>
      <c r="B35" s="71"/>
      <c r="C35" s="243">
        <v>0</v>
      </c>
      <c r="D35" s="71" t="s">
        <v>22</v>
      </c>
      <c r="E35" s="295">
        <v>0</v>
      </c>
      <c r="F35" s="71" t="s">
        <v>23</v>
      </c>
      <c r="G35" s="296">
        <f t="shared" si="3"/>
        <v>0</v>
      </c>
    </row>
    <row r="36" spans="1:8" ht="12.6" customHeight="1">
      <c r="A36" s="294" t="s">
        <v>35</v>
      </c>
      <c r="B36" s="71"/>
      <c r="C36" s="243">
        <v>0</v>
      </c>
      <c r="D36" s="71" t="s">
        <v>22</v>
      </c>
      <c r="E36" s="295">
        <v>0</v>
      </c>
      <c r="F36" s="71" t="s">
        <v>23</v>
      </c>
      <c r="G36" s="296">
        <f t="shared" si="3"/>
        <v>0</v>
      </c>
    </row>
    <row r="37" spans="1:8" ht="12.6" customHeight="1">
      <c r="A37" s="294" t="s">
        <v>37</v>
      </c>
      <c r="B37" s="71"/>
      <c r="C37" s="243">
        <v>0</v>
      </c>
      <c r="D37" s="71" t="s">
        <v>22</v>
      </c>
      <c r="E37" s="295">
        <v>0</v>
      </c>
      <c r="F37" s="71" t="s">
        <v>23</v>
      </c>
      <c r="G37" s="296">
        <f t="shared" si="3"/>
        <v>0</v>
      </c>
      <c r="H37" s="23"/>
    </row>
    <row r="38" spans="1:8" ht="12.6" customHeight="1">
      <c r="A38" s="299" t="s">
        <v>36</v>
      </c>
      <c r="B38" s="74"/>
      <c r="C38" s="243">
        <v>0</v>
      </c>
      <c r="D38" s="71" t="s">
        <v>22</v>
      </c>
      <c r="E38" s="295">
        <v>0</v>
      </c>
      <c r="F38" s="71"/>
      <c r="G38" s="296">
        <f t="shared" si="3"/>
        <v>0</v>
      </c>
    </row>
    <row r="39" spans="1:8" ht="12.6" customHeight="1">
      <c r="A39" s="294" t="s">
        <v>38</v>
      </c>
      <c r="B39" s="71"/>
      <c r="C39" s="244">
        <v>0</v>
      </c>
      <c r="D39" s="71" t="s">
        <v>22</v>
      </c>
      <c r="E39" s="295">
        <v>0</v>
      </c>
      <c r="F39" s="71" t="s">
        <v>23</v>
      </c>
      <c r="G39" s="296">
        <f>IF(E24*0.06&lt;C39*E39,ROUND(C39*E39,2)-0.06*E24,0)</f>
        <v>0</v>
      </c>
    </row>
    <row r="40" spans="1:8" ht="12.6" customHeight="1">
      <c r="A40" s="300" t="s">
        <v>39</v>
      </c>
      <c r="B40" s="75"/>
      <c r="C40" s="245">
        <v>0</v>
      </c>
      <c r="D40" s="75" t="s">
        <v>22</v>
      </c>
      <c r="E40" s="312">
        <f>EPI!$G$13</f>
        <v>0</v>
      </c>
      <c r="F40" s="75" t="s">
        <v>23</v>
      </c>
      <c r="G40" s="302">
        <f>ROUND(C40*E40,2)</f>
        <v>0</v>
      </c>
    </row>
    <row r="41" spans="1:8" ht="12.6" customHeight="1">
      <c r="A41" s="313" t="s">
        <v>40</v>
      </c>
      <c r="B41" s="82"/>
      <c r="C41" s="83"/>
      <c r="D41" s="82"/>
      <c r="E41" s="314"/>
      <c r="F41" s="82"/>
      <c r="G41" s="315">
        <f>SUM(G30:G40)</f>
        <v>0</v>
      </c>
    </row>
    <row r="42" spans="1:8" ht="9.75" customHeight="1">
      <c r="A42" s="316"/>
      <c r="B42" s="317"/>
      <c r="C42" s="318"/>
      <c r="D42" s="317"/>
      <c r="E42" s="319"/>
      <c r="F42" s="317"/>
      <c r="G42" s="320"/>
    </row>
    <row r="43" spans="1:8" ht="17.25" customHeight="1">
      <c r="A43" s="1114" t="s">
        <v>231</v>
      </c>
      <c r="B43" s="1115"/>
      <c r="C43" s="1115"/>
      <c r="D43" s="1115"/>
      <c r="E43" s="1115"/>
      <c r="F43" s="1115"/>
      <c r="G43" s="1116"/>
    </row>
    <row r="44" spans="1:8" ht="17.25" customHeight="1">
      <c r="A44" s="1123" t="s">
        <v>233</v>
      </c>
      <c r="B44" s="1123"/>
      <c r="C44" s="1123"/>
      <c r="D44" s="1123"/>
      <c r="E44" s="1123"/>
      <c r="F44" s="1123"/>
      <c r="G44" s="1123"/>
    </row>
    <row r="45" spans="1:8" ht="17.25" customHeight="1">
      <c r="A45" s="1124"/>
      <c r="B45" s="1124"/>
      <c r="C45" s="1124"/>
      <c r="D45" s="1124"/>
      <c r="E45" s="1124"/>
      <c r="F45" s="1124"/>
      <c r="G45" s="1124"/>
    </row>
    <row r="46" spans="1:8" ht="30">
      <c r="A46" s="321" t="s">
        <v>219</v>
      </c>
      <c r="B46" s="322" t="s">
        <v>109</v>
      </c>
      <c r="C46" s="323" t="s">
        <v>229</v>
      </c>
      <c r="D46" s="323" t="s">
        <v>228</v>
      </c>
      <c r="E46" s="323" t="s">
        <v>232</v>
      </c>
      <c r="F46" s="323" t="s">
        <v>234</v>
      </c>
      <c r="G46" s="324" t="s">
        <v>216</v>
      </c>
    </row>
    <row r="47" spans="1:8" ht="30">
      <c r="A47" s="325" t="s">
        <v>220</v>
      </c>
      <c r="B47" s="326" t="s">
        <v>109</v>
      </c>
      <c r="C47" s="326" t="s">
        <v>227</v>
      </c>
      <c r="D47" s="326">
        <v>95403</v>
      </c>
      <c r="E47" s="327">
        <v>0</v>
      </c>
      <c r="F47" s="323">
        <v>1</v>
      </c>
      <c r="G47" s="324">
        <f>E47*F47</f>
        <v>0</v>
      </c>
    </row>
    <row r="48" spans="1:8" ht="30">
      <c r="A48" s="325" t="s">
        <v>221</v>
      </c>
      <c r="B48" s="326" t="s">
        <v>109</v>
      </c>
      <c r="C48" s="326" t="s">
        <v>19</v>
      </c>
      <c r="D48" s="326">
        <v>43486</v>
      </c>
      <c r="E48" s="327">
        <v>0</v>
      </c>
      <c r="F48" s="323">
        <v>1</v>
      </c>
      <c r="G48" s="324">
        <f t="shared" ref="G48:G53" si="4">E48*F48</f>
        <v>0</v>
      </c>
    </row>
    <row r="49" spans="1:7" ht="30">
      <c r="A49" s="325" t="s">
        <v>222</v>
      </c>
      <c r="B49" s="326" t="s">
        <v>109</v>
      </c>
      <c r="C49" s="326" t="s">
        <v>19</v>
      </c>
      <c r="D49" s="326">
        <v>43462</v>
      </c>
      <c r="E49" s="327">
        <v>0</v>
      </c>
      <c r="F49" s="328">
        <v>1</v>
      </c>
      <c r="G49" s="324">
        <f t="shared" si="4"/>
        <v>0</v>
      </c>
    </row>
    <row r="50" spans="1:7" ht="15">
      <c r="A50" s="325" t="s">
        <v>223</v>
      </c>
      <c r="B50" s="326" t="s">
        <v>109</v>
      </c>
      <c r="C50" s="326" t="s">
        <v>19</v>
      </c>
      <c r="D50" s="326">
        <v>37373</v>
      </c>
      <c r="E50" s="327">
        <v>0</v>
      </c>
      <c r="F50" s="323">
        <v>1</v>
      </c>
      <c r="G50" s="324">
        <f t="shared" si="4"/>
        <v>0</v>
      </c>
    </row>
    <row r="51" spans="1:7" ht="15">
      <c r="A51" s="325" t="s">
        <v>224</v>
      </c>
      <c r="B51" s="326" t="s">
        <v>109</v>
      </c>
      <c r="C51" s="326" t="s">
        <v>19</v>
      </c>
      <c r="D51" s="326">
        <v>37372</v>
      </c>
      <c r="E51" s="327">
        <v>0</v>
      </c>
      <c r="F51" s="323">
        <v>1</v>
      </c>
      <c r="G51" s="324">
        <f t="shared" si="4"/>
        <v>0</v>
      </c>
    </row>
    <row r="52" spans="1:7" ht="30">
      <c r="A52" s="325" t="s">
        <v>225</v>
      </c>
      <c r="B52" s="326" t="s">
        <v>109</v>
      </c>
      <c r="C52" s="326" t="s">
        <v>19</v>
      </c>
      <c r="D52" s="326">
        <v>37370</v>
      </c>
      <c r="E52" s="327">
        <v>0</v>
      </c>
      <c r="F52" s="323">
        <v>1</v>
      </c>
      <c r="G52" s="324">
        <f t="shared" si="4"/>
        <v>0</v>
      </c>
    </row>
    <row r="53" spans="1:7" ht="15">
      <c r="A53" s="329" t="s">
        <v>226</v>
      </c>
      <c r="B53" s="330" t="s">
        <v>109</v>
      </c>
      <c r="C53" s="330" t="s">
        <v>19</v>
      </c>
      <c r="D53" s="330">
        <v>2707</v>
      </c>
      <c r="E53" s="327">
        <v>0</v>
      </c>
      <c r="F53" s="331">
        <v>1</v>
      </c>
      <c r="G53" s="332">
        <f t="shared" si="4"/>
        <v>0</v>
      </c>
    </row>
    <row r="54" spans="1:7" ht="12.6" customHeight="1">
      <c r="A54" s="1125" t="s">
        <v>235</v>
      </c>
      <c r="B54" s="1126"/>
      <c r="C54" s="1126"/>
      <c r="D54" s="1126"/>
      <c r="E54" s="1126"/>
      <c r="F54" s="1127"/>
      <c r="G54" s="333">
        <f>SUM(G47:G53)</f>
        <v>0</v>
      </c>
    </row>
    <row r="55" spans="1:7" ht="12.6" customHeight="1">
      <c r="A55" s="334"/>
      <c r="B55" s="334"/>
      <c r="C55" s="334"/>
      <c r="D55" s="334"/>
      <c r="E55" s="334"/>
      <c r="F55" s="334"/>
      <c r="G55" s="335"/>
    </row>
    <row r="56" spans="1:7" ht="12.6" customHeight="1">
      <c r="A56" s="1128" t="s">
        <v>247</v>
      </c>
      <c r="B56" s="1129"/>
      <c r="C56" s="1129"/>
      <c r="D56" s="1129"/>
      <c r="E56" s="1129"/>
      <c r="F56" s="1130"/>
      <c r="G56" s="336">
        <v>2</v>
      </c>
    </row>
    <row r="57" spans="1:7" ht="12.6" customHeight="1">
      <c r="A57" s="1131" t="s">
        <v>230</v>
      </c>
      <c r="B57" s="1132"/>
      <c r="C57" s="1132"/>
      <c r="D57" s="1132"/>
      <c r="E57" s="1132"/>
      <c r="F57" s="1133"/>
      <c r="G57" s="336">
        <f>26</f>
        <v>26</v>
      </c>
    </row>
    <row r="58" spans="1:7" ht="12.6" customHeight="1">
      <c r="A58" s="334"/>
      <c r="B58" s="337"/>
      <c r="C58" s="337"/>
      <c r="D58" s="337"/>
      <c r="E58" s="337"/>
      <c r="F58" s="337"/>
      <c r="G58" s="335"/>
    </row>
    <row r="59" spans="1:7" ht="12.6" customHeight="1">
      <c r="A59" s="1134" t="s">
        <v>40</v>
      </c>
      <c r="B59" s="1135"/>
      <c r="C59" s="1135"/>
      <c r="D59" s="1135"/>
      <c r="E59" s="1135"/>
      <c r="F59" s="1136"/>
      <c r="G59" s="338">
        <f>G54*G56*G57</f>
        <v>0</v>
      </c>
    </row>
    <row r="60" spans="1:7" ht="9.75" customHeight="1">
      <c r="A60" s="291"/>
      <c r="B60" s="69"/>
      <c r="C60" s="68"/>
      <c r="D60" s="69"/>
      <c r="E60" s="292"/>
      <c r="F60" s="69"/>
      <c r="G60" s="293"/>
    </row>
    <row r="61" spans="1:7" ht="21">
      <c r="A61" s="1120" t="s">
        <v>122</v>
      </c>
      <c r="B61" s="1121"/>
      <c r="C61" s="1121"/>
      <c r="D61" s="1121"/>
      <c r="E61" s="1121"/>
      <c r="F61" s="1121"/>
      <c r="G61" s="1122"/>
    </row>
    <row r="62" spans="1:7" ht="15">
      <c r="A62" s="339" t="s">
        <v>42</v>
      </c>
      <c r="B62" s="234"/>
      <c r="C62" s="234"/>
      <c r="D62" s="234" t="s">
        <v>43</v>
      </c>
      <c r="E62" s="340" t="s">
        <v>44</v>
      </c>
      <c r="F62" s="234"/>
      <c r="G62" s="341" t="s">
        <v>45</v>
      </c>
    </row>
    <row r="63" spans="1:7" ht="13.5" customHeight="1">
      <c r="A63" s="306" t="s">
        <v>123</v>
      </c>
      <c r="B63" s="342"/>
      <c r="C63" s="342"/>
      <c r="D63" s="342">
        <v>1</v>
      </c>
      <c r="E63" s="343">
        <f>G21</f>
        <v>0</v>
      </c>
      <c r="F63" s="86"/>
      <c r="G63" s="344">
        <f>E63*D63</f>
        <v>0</v>
      </c>
    </row>
    <row r="64" spans="1:7" ht="13.5" customHeight="1">
      <c r="A64" s="306" t="s">
        <v>426</v>
      </c>
      <c r="B64" s="85"/>
      <c r="C64" s="85"/>
      <c r="D64" s="85">
        <v>1</v>
      </c>
      <c r="E64" s="343">
        <f>G41</f>
        <v>0</v>
      </c>
      <c r="F64" s="86"/>
      <c r="G64" s="344">
        <f>E64*D64</f>
        <v>0</v>
      </c>
    </row>
    <row r="65" spans="1:7" ht="13.5" customHeight="1">
      <c r="A65" s="306" t="s">
        <v>124</v>
      </c>
      <c r="B65" s="85"/>
      <c r="C65" s="85"/>
      <c r="D65" s="85">
        <v>1</v>
      </c>
      <c r="E65" s="343">
        <f>G59</f>
        <v>0</v>
      </c>
      <c r="F65" s="86"/>
      <c r="G65" s="344">
        <f>D65*E65</f>
        <v>0</v>
      </c>
    </row>
    <row r="66" spans="1:7" ht="21.75" thickBot="1">
      <c r="A66" s="1112" t="s">
        <v>50</v>
      </c>
      <c r="B66" s="1113"/>
      <c r="C66" s="1113"/>
      <c r="D66" s="1113"/>
      <c r="E66" s="345"/>
      <c r="F66" s="346"/>
      <c r="G66" s="347">
        <f>SUM(G63:G65)</f>
        <v>0</v>
      </c>
    </row>
    <row r="67" spans="1:7" ht="13.5" customHeight="1">
      <c r="G67" s="38"/>
    </row>
    <row r="74" spans="1:7" ht="14.25"/>
    <row r="79" spans="1:7" ht="14.25"/>
    <row r="85" ht="14.25"/>
  </sheetData>
  <sheetProtection algorithmName="SHA-512" hashValue="sfRbdT6U3Yv2ckYZtavzI3Mr02rx7fgRJW2Fvk9fkq23jQq54u03fYX6ZewEIiSUDrUA/36TOd1hMVIVjMM7WA==" saltValue="2zBMCcKc0YEdMjf+/eC5aA==" spinCount="100000" sheet="1" objects="1" scenarios="1"/>
  <protectedRanges>
    <protectedRange sqref="C2:G2" name="Intervalo8"/>
    <protectedRange sqref="C42:G42 C60:G60" name="Intervalo11_5"/>
    <protectedRange sqref="E31:E32 E11:E14 E54" name="Intervalo8_2_1"/>
    <protectedRange sqref="E55:E56 C39 C19:C20 C11:D18 C31 C33:C34 E17:E19 E15 E33:E35 C53 C55:C56" name="Intervalo8_3_1"/>
    <protectedRange sqref="D9:G9 C10:G10 C21:G21 C4:G4 D19:D20 C5:D8 F11:G20 C48 F5:G8 C30 C52 C26" name="Intervalo11_2_1"/>
    <protectedRange sqref="E5 E25 E47" name="Intervalo9_1_1"/>
    <protectedRange sqref="C9 C51 C29" name="Intervalo8_1_1_1"/>
    <protectedRange sqref="C36:E38 C40 E16 C57:E57 D31:D34 C32 C54 C35:D35 D54:D56 C58 D53:E53" name="Intervalo8_6_1"/>
    <protectedRange sqref="D40:G40 D39 E6:E8 E26:G30 F53 D26 C27:D28 C41:G41 F25:G25 F31:G39 D29:D30 C25:D25 C24:G24 E20 D58:G58 F54:G57 E48:F52 D48 C49:D50 C59:G59 F47:G47 G48:G53 D51:D52 C47:D47 C46:G46" name="Intervalo11_5_1"/>
    <protectedRange sqref="E39" name="Intervalo8_1_4_1"/>
  </protectedRanges>
  <mergeCells count="11">
    <mergeCell ref="A66:D66"/>
    <mergeCell ref="A43:G43"/>
    <mergeCell ref="A1:G1"/>
    <mergeCell ref="A3:G3"/>
    <mergeCell ref="A23:G23"/>
    <mergeCell ref="A61:G61"/>
    <mergeCell ref="A44:G45"/>
    <mergeCell ref="A54:F54"/>
    <mergeCell ref="A56:F56"/>
    <mergeCell ref="A57:F57"/>
    <mergeCell ref="A59:F59"/>
  </mergeCells>
  <conditionalFormatting sqref="A44 H44:XFD45 A55:XFD55 A54 G54:XFD54 A58:XFD58 A56:A57 G56:XFD57 A59 G59:XFD59 A60:XFD1048576 A46:XFD53 A1:XFD43">
    <cfRule type="expression" dxfId="13" priority="1">
      <formula>CELL("proteger",A1)=1</formula>
    </cfRule>
  </conditionalFormatting>
  <printOptions horizontalCentered="1"/>
  <pageMargins left="0.39370078740157483" right="0.39370078740157483" top="1.1811023622047245" bottom="0.78740157480314965" header="0.19685039370078741" footer="0.19685039370078741"/>
  <pageSetup paperSize="9" scale="71" fitToHeight="0" orientation="portrait" r:id="rId1"/>
  <headerFooter scaleWithDoc="0">
    <oddHeader>&amp;L&amp;G&amp;RPagina&amp;P &amp;A</oddHeader>
  </headerFooter>
  <rowBreaks count="2" manualBreakCount="2">
    <brk id="22" max="6" man="1"/>
    <brk id="66" max="6" man="1"/>
  </rowBreaks>
  <drawing r:id="rId2"/>
  <legacyDrawing r:id="rId3"/>
  <legacyDrawingHF r:id="rId4"/>
  <oleObjects>
    <mc:AlternateContent xmlns:mc="http://schemas.openxmlformats.org/markup-compatibility/2006">
      <mc:Choice Requires="x14">
        <oleObject progId="CorelDraw.Graphic.18" shapeId="31745" r:id="rId5">
          <objectPr defaultSize="0" autoPict="0" r:id="rId6">
            <anchor moveWithCells="1">
              <from>
                <xdr:col>0</xdr:col>
                <xdr:colOff>1724025</xdr:colOff>
                <xdr:row>0</xdr:row>
                <xdr:rowOff>123825</xdr:rowOff>
              </from>
              <to>
                <xdr:col>0</xdr:col>
                <xdr:colOff>2638425</xdr:colOff>
                <xdr:row>0</xdr:row>
                <xdr:rowOff>809625</xdr:rowOff>
              </to>
            </anchor>
          </objectPr>
        </oleObject>
      </mc:Choice>
      <mc:Fallback>
        <oleObject progId="CorelDraw.Graphic.18" shapeId="31745" r:id="rId5"/>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60DEF-90EC-4123-84E9-CCEEB3CBD36F}">
  <sheetPr>
    <tabColor theme="5" tint="-0.249977111117893"/>
    <pageSetUpPr fitToPage="1"/>
  </sheetPr>
  <dimension ref="A1:L29"/>
  <sheetViews>
    <sheetView zoomScale="85" zoomScaleNormal="85" workbookViewId="0">
      <selection activeCell="E3" sqref="E3"/>
    </sheetView>
  </sheetViews>
  <sheetFormatPr defaultColWidth="8.875" defaultRowHeight="14.25"/>
  <cols>
    <col min="1" max="1" width="51.875" style="20" bestFit="1" customWidth="1"/>
    <col min="2" max="2" width="9.875" style="20" customWidth="1"/>
    <col min="3" max="3" width="13.5" style="20" bestFit="1" customWidth="1"/>
    <col min="4" max="4" width="17.125" style="20" customWidth="1"/>
    <col min="5" max="5" width="15.375" style="20" bestFit="1" customWidth="1"/>
    <col min="6" max="6" width="12" style="20" customWidth="1"/>
    <col min="7" max="7" width="11" style="20" bestFit="1" customWidth="1"/>
    <col min="8" max="8" width="42" style="20" bestFit="1" customWidth="1"/>
    <col min="9" max="9" width="9.25" style="20" bestFit="1" customWidth="1"/>
    <col min="10" max="10" width="12.375" style="20" bestFit="1" customWidth="1"/>
    <col min="11" max="11" width="12.75" style="20" bestFit="1" customWidth="1"/>
    <col min="12" max="12" width="14.625" style="20" bestFit="1" customWidth="1"/>
    <col min="13" max="16384" width="8.875" style="20"/>
  </cols>
  <sheetData>
    <row r="1" spans="1:12" ht="74.25" customHeight="1" thickBot="1">
      <c r="A1" s="1148" t="s">
        <v>565</v>
      </c>
      <c r="B1" s="1149"/>
      <c r="C1" s="1149"/>
      <c r="D1" s="1149"/>
      <c r="E1" s="1150"/>
      <c r="F1" s="206"/>
      <c r="G1" s="206"/>
      <c r="H1" s="206"/>
      <c r="I1" s="206"/>
      <c r="J1" s="206"/>
    </row>
    <row r="2" spans="1:12" ht="15.6" customHeight="1">
      <c r="A2" s="696" t="s">
        <v>51</v>
      </c>
      <c r="B2" s="697"/>
      <c r="C2" s="697"/>
      <c r="D2" s="698" t="s">
        <v>52</v>
      </c>
      <c r="E2" s="744" t="s">
        <v>606</v>
      </c>
      <c r="F2" s="204"/>
      <c r="G2" s="211"/>
      <c r="H2" s="211"/>
      <c r="I2" s="211"/>
      <c r="J2" s="211"/>
      <c r="K2" s="211"/>
      <c r="L2" s="211"/>
    </row>
    <row r="3" spans="1:12" ht="15.6" customHeight="1" thickBot="1">
      <c r="A3" s="699" t="s">
        <v>127</v>
      </c>
      <c r="B3" s="700"/>
      <c r="C3" s="700"/>
      <c r="D3" s="701" t="s">
        <v>53</v>
      </c>
      <c r="E3" s="740">
        <v>0</v>
      </c>
      <c r="F3" s="205"/>
      <c r="G3" s="212"/>
      <c r="H3" s="212"/>
      <c r="I3" s="212"/>
      <c r="J3" s="212"/>
      <c r="K3" s="213"/>
      <c r="L3" s="214"/>
    </row>
    <row r="4" spans="1:12" ht="15.6" customHeight="1" thickBot="1">
      <c r="A4" s="702"/>
      <c r="B4" s="703"/>
      <c r="C4" s="703"/>
      <c r="D4" s="704"/>
      <c r="E4" s="705"/>
      <c r="F4" s="205"/>
      <c r="G4" s="212"/>
      <c r="H4" s="212"/>
      <c r="I4" s="212"/>
      <c r="J4" s="212"/>
      <c r="K4" s="215"/>
      <c r="L4" s="216"/>
    </row>
    <row r="5" spans="1:12" ht="16.5" thickBot="1">
      <c r="A5" s="1151" t="s">
        <v>105</v>
      </c>
      <c r="B5" s="1152"/>
      <c r="C5" s="1152"/>
      <c r="D5" s="1152"/>
      <c r="E5" s="1153"/>
      <c r="F5" s="206"/>
      <c r="G5" s="206"/>
      <c r="H5" s="206"/>
      <c r="I5" s="206"/>
      <c r="J5" s="206"/>
    </row>
    <row r="6" spans="1:12" ht="31.5">
      <c r="A6" s="706" t="s">
        <v>75</v>
      </c>
      <c r="B6" s="707" t="s">
        <v>43</v>
      </c>
      <c r="C6" s="707" t="s">
        <v>99</v>
      </c>
      <c r="D6" s="708" t="s">
        <v>238</v>
      </c>
      <c r="E6" s="709" t="s">
        <v>237</v>
      </c>
      <c r="F6" s="206"/>
      <c r="G6" s="206"/>
      <c r="H6" s="206"/>
      <c r="I6" s="206"/>
      <c r="J6" s="206"/>
    </row>
    <row r="7" spans="1:12" ht="15.75">
      <c r="A7" s="710" t="s">
        <v>597</v>
      </c>
      <c r="B7" s="711">
        <v>1</v>
      </c>
      <c r="C7" s="287">
        <v>0</v>
      </c>
      <c r="D7" s="712">
        <f>C7*(1+E$3)</f>
        <v>0</v>
      </c>
      <c r="E7" s="713">
        <f>D7*B7</f>
        <v>0</v>
      </c>
      <c r="F7" s="206"/>
      <c r="G7" s="206"/>
      <c r="H7" s="206"/>
      <c r="I7" s="206"/>
      <c r="J7" s="206"/>
    </row>
    <row r="8" spans="1:12" ht="15.75">
      <c r="A8" s="710" t="s">
        <v>598</v>
      </c>
      <c r="B8" s="711">
        <v>1</v>
      </c>
      <c r="C8" s="287">
        <v>0</v>
      </c>
      <c r="D8" s="712">
        <f t="shared" ref="D8:D14" si="0">C8*(1+E$3)</f>
        <v>0</v>
      </c>
      <c r="E8" s="713">
        <f t="shared" ref="E8:E14" si="1">D8*B8</f>
        <v>0</v>
      </c>
      <c r="F8" s="206"/>
      <c r="G8" s="206"/>
      <c r="H8" s="206"/>
      <c r="I8" s="206"/>
      <c r="J8" s="206"/>
    </row>
    <row r="9" spans="1:12" ht="15.75">
      <c r="A9" s="710" t="s">
        <v>599</v>
      </c>
      <c r="B9" s="711">
        <v>1</v>
      </c>
      <c r="C9" s="287">
        <v>0</v>
      </c>
      <c r="D9" s="712">
        <f t="shared" si="0"/>
        <v>0</v>
      </c>
      <c r="E9" s="713">
        <f t="shared" si="1"/>
        <v>0</v>
      </c>
      <c r="F9" s="206"/>
      <c r="G9" s="206"/>
      <c r="H9" s="206"/>
      <c r="I9" s="206"/>
      <c r="J9" s="206"/>
    </row>
    <row r="10" spans="1:12" ht="15.75">
      <c r="A10" s="710" t="s">
        <v>106</v>
      </c>
      <c r="B10" s="711">
        <v>1</v>
      </c>
      <c r="C10" s="287">
        <v>0</v>
      </c>
      <c r="D10" s="712">
        <f t="shared" si="0"/>
        <v>0</v>
      </c>
      <c r="E10" s="713">
        <f t="shared" si="1"/>
        <v>0</v>
      </c>
      <c r="F10" s="206"/>
      <c r="G10" s="206"/>
      <c r="H10" s="206"/>
      <c r="I10" s="206"/>
      <c r="J10" s="206"/>
    </row>
    <row r="11" spans="1:12" ht="15.75">
      <c r="A11" s="710" t="s">
        <v>600</v>
      </c>
      <c r="B11" s="711">
        <v>1</v>
      </c>
      <c r="C11" s="288">
        <v>0</v>
      </c>
      <c r="D11" s="712">
        <f t="shared" si="0"/>
        <v>0</v>
      </c>
      <c r="E11" s="713">
        <f t="shared" si="1"/>
        <v>0</v>
      </c>
      <c r="F11" s="206"/>
      <c r="G11" s="206"/>
      <c r="H11" s="206"/>
    </row>
    <row r="12" spans="1:12" ht="15.75">
      <c r="A12" s="714" t="s">
        <v>601</v>
      </c>
      <c r="B12" s="715">
        <v>1</v>
      </c>
      <c r="C12" s="288">
        <v>0</v>
      </c>
      <c r="D12" s="716">
        <f t="shared" si="0"/>
        <v>0</v>
      </c>
      <c r="E12" s="717">
        <f t="shared" si="1"/>
        <v>0</v>
      </c>
      <c r="F12" s="206"/>
      <c r="G12" s="206"/>
      <c r="H12" s="206"/>
    </row>
    <row r="13" spans="1:12" ht="15.75">
      <c r="A13" s="710" t="s">
        <v>602</v>
      </c>
      <c r="B13" s="711">
        <v>1</v>
      </c>
      <c r="C13" s="287">
        <v>0</v>
      </c>
      <c r="D13" s="712">
        <f t="shared" si="0"/>
        <v>0</v>
      </c>
      <c r="E13" s="713">
        <f t="shared" si="1"/>
        <v>0</v>
      </c>
      <c r="F13" s="206"/>
      <c r="G13" s="206"/>
      <c r="H13" s="206"/>
    </row>
    <row r="14" spans="1:12" ht="15.75">
      <c r="A14" s="710" t="s">
        <v>603</v>
      </c>
      <c r="B14" s="711">
        <v>1</v>
      </c>
      <c r="C14" s="287">
        <v>0</v>
      </c>
      <c r="D14" s="712">
        <f t="shared" si="0"/>
        <v>0</v>
      </c>
      <c r="E14" s="713">
        <f t="shared" si="1"/>
        <v>0</v>
      </c>
      <c r="F14" s="206"/>
      <c r="G14" s="206"/>
      <c r="H14" s="206"/>
    </row>
    <row r="15" spans="1:12" ht="15.75">
      <c r="A15" s="1146" t="s">
        <v>18</v>
      </c>
      <c r="B15" s="1147"/>
      <c r="C15" s="718"/>
      <c r="D15" s="718"/>
      <c r="E15" s="719">
        <f>SUM(E7:E14)</f>
        <v>0</v>
      </c>
      <c r="F15" s="206"/>
      <c r="G15" s="206"/>
      <c r="H15" s="206"/>
    </row>
    <row r="16" spans="1:12" ht="16.5" thickBot="1">
      <c r="A16" s="720"/>
      <c r="B16" s="721"/>
      <c r="C16" s="722"/>
      <c r="D16" s="723"/>
      <c r="E16" s="724"/>
      <c r="F16" s="206"/>
      <c r="G16" s="206"/>
      <c r="H16" s="206"/>
    </row>
    <row r="17" spans="1:10" ht="16.5" thickBot="1">
      <c r="A17" s="1154" t="s">
        <v>239</v>
      </c>
      <c r="B17" s="1155"/>
      <c r="C17" s="1155"/>
      <c r="D17" s="1155"/>
      <c r="E17" s="1156"/>
      <c r="F17" s="206"/>
      <c r="G17" s="206"/>
      <c r="H17" s="206"/>
    </row>
    <row r="18" spans="1:10" s="33" customFormat="1" ht="31.5">
      <c r="A18" s="706" t="s">
        <v>75</v>
      </c>
      <c r="B18" s="725" t="s">
        <v>43</v>
      </c>
      <c r="C18" s="707" t="s">
        <v>99</v>
      </c>
      <c r="D18" s="708" t="s">
        <v>238</v>
      </c>
      <c r="E18" s="709" t="s">
        <v>237</v>
      </c>
      <c r="F18" s="207"/>
      <c r="G18" s="206"/>
      <c r="H18" s="206"/>
      <c r="I18" s="20"/>
      <c r="J18" s="20"/>
    </row>
    <row r="19" spans="1:10" s="33" customFormat="1" ht="15.75">
      <c r="A19" s="726" t="s">
        <v>125</v>
      </c>
      <c r="B19" s="727">
        <v>1</v>
      </c>
      <c r="C19" s="728">
        <f>'M.O. ADM LOCAL'!G63</f>
        <v>0</v>
      </c>
      <c r="D19" s="729">
        <f>C19*(1+E$3)</f>
        <v>0</v>
      </c>
      <c r="E19" s="730">
        <f>D19*B19</f>
        <v>0</v>
      </c>
      <c r="F19" s="207"/>
      <c r="G19" s="210"/>
      <c r="H19" s="206"/>
      <c r="I19" s="20"/>
      <c r="J19" s="20"/>
    </row>
    <row r="20" spans="1:10" s="33" customFormat="1" ht="15.75">
      <c r="A20" s="726" t="s">
        <v>427</v>
      </c>
      <c r="B20" s="727">
        <v>1</v>
      </c>
      <c r="C20" s="728">
        <f>'M.O. ADM LOCAL'!G64</f>
        <v>0</v>
      </c>
      <c r="D20" s="729">
        <f t="shared" ref="D20:D21" si="2">C20*(1+E$3)</f>
        <v>0</v>
      </c>
      <c r="E20" s="730">
        <f t="shared" ref="E20:E21" si="3">D20*B20</f>
        <v>0</v>
      </c>
      <c r="F20" s="207"/>
      <c r="G20" s="210"/>
      <c r="H20" s="206"/>
      <c r="I20" s="20"/>
      <c r="J20" s="20"/>
    </row>
    <row r="21" spans="1:10" s="33" customFormat="1" ht="15.75">
      <c r="A21" s="731" t="s">
        <v>126</v>
      </c>
      <c r="B21" s="732">
        <v>1</v>
      </c>
      <c r="C21" s="728">
        <f>'M.O. ADM LOCAL'!G65</f>
        <v>0</v>
      </c>
      <c r="D21" s="729">
        <f t="shared" si="2"/>
        <v>0</v>
      </c>
      <c r="E21" s="730">
        <f t="shared" si="3"/>
        <v>0</v>
      </c>
      <c r="F21" s="207"/>
      <c r="G21" s="210"/>
      <c r="H21" s="206"/>
      <c r="I21" s="20"/>
      <c r="J21" s="20"/>
    </row>
    <row r="22" spans="1:10" s="33" customFormat="1" ht="15.75">
      <c r="A22" s="1146" t="s">
        <v>18</v>
      </c>
      <c r="B22" s="1147"/>
      <c r="C22" s="733"/>
      <c r="D22" s="734"/>
      <c r="E22" s="730">
        <f>SUM(E19:E21)</f>
        <v>0</v>
      </c>
      <c r="F22" s="207"/>
      <c r="G22" s="210"/>
      <c r="H22" s="206"/>
      <c r="I22" s="20"/>
      <c r="J22" s="20"/>
    </row>
    <row r="23" spans="1:10" ht="16.5" thickBot="1">
      <c r="A23" s="735"/>
      <c r="B23" s="736"/>
      <c r="C23" s="736"/>
      <c r="D23" s="737"/>
      <c r="E23" s="738"/>
      <c r="F23" s="206"/>
      <c r="G23" s="210"/>
      <c r="H23" s="206"/>
    </row>
    <row r="24" spans="1:10" ht="16.5" thickBot="1">
      <c r="A24" s="1154" t="s">
        <v>240</v>
      </c>
      <c r="B24" s="1155"/>
      <c r="C24" s="1155"/>
      <c r="D24" s="1155"/>
      <c r="E24" s="739">
        <f>SUM(E15,E22)</f>
        <v>0</v>
      </c>
      <c r="F24" s="206"/>
      <c r="G24" s="210"/>
      <c r="H24" s="206"/>
    </row>
    <row r="25" spans="1:10" ht="15.75" customHeight="1">
      <c r="A25" s="1137"/>
      <c r="B25" s="1138"/>
      <c r="C25" s="1138"/>
      <c r="D25" s="1138"/>
      <c r="E25" s="1139"/>
      <c r="F25" s="206"/>
      <c r="G25" s="208"/>
      <c r="H25" s="208"/>
      <c r="I25" s="206"/>
      <c r="J25" s="206"/>
    </row>
    <row r="26" spans="1:10" ht="15.75">
      <c r="A26" s="1140"/>
      <c r="B26" s="1141"/>
      <c r="C26" s="1141"/>
      <c r="D26" s="1141"/>
      <c r="E26" s="1142"/>
      <c r="F26" s="206"/>
      <c r="G26" s="206"/>
      <c r="H26" s="206"/>
      <c r="I26" s="206"/>
      <c r="J26" s="206"/>
    </row>
    <row r="27" spans="1:10" ht="15.75">
      <c r="A27" s="1140"/>
      <c r="B27" s="1141"/>
      <c r="C27" s="1141"/>
      <c r="D27" s="1141"/>
      <c r="E27" s="1142"/>
      <c r="F27" s="206"/>
      <c r="G27" s="206"/>
      <c r="H27" s="206"/>
      <c r="I27" s="206"/>
      <c r="J27" s="206"/>
    </row>
    <row r="28" spans="1:10" ht="16.5" thickBot="1">
      <c r="A28" s="1143"/>
      <c r="B28" s="1144"/>
      <c r="C28" s="1144"/>
      <c r="D28" s="1144"/>
      <c r="E28" s="1145"/>
      <c r="F28" s="206"/>
      <c r="G28" s="206"/>
      <c r="H28" s="206"/>
      <c r="I28" s="206"/>
      <c r="J28" s="206"/>
    </row>
    <row r="29" spans="1:10" ht="15.75">
      <c r="A29" s="206"/>
      <c r="B29" s="206"/>
      <c r="C29" s="206"/>
      <c r="D29" s="206"/>
      <c r="E29" s="206"/>
      <c r="F29" s="206"/>
      <c r="G29" s="209"/>
      <c r="H29" s="209"/>
      <c r="I29" s="206"/>
      <c r="J29" s="206"/>
    </row>
  </sheetData>
  <sheetProtection algorithmName="SHA-512" hashValue="+kqRb9iHaPdDKJd8TzEwJio7YZI2RPbCRSrwge4h+XEPGAts4g61FbrFtXh4suw+s+v22sgrEFbwrq3/Yuzzkw==" saltValue="TiVWAdt69IFIddZbRKEP/g==" spinCount="100000" sheet="1" objects="1" scenarios="1"/>
  <protectedRanges>
    <protectedRange sqref="E3:F4" name="Intervalo4"/>
  </protectedRanges>
  <mergeCells count="7">
    <mergeCell ref="A25:E28"/>
    <mergeCell ref="A22:B22"/>
    <mergeCell ref="A1:E1"/>
    <mergeCell ref="A5:E5"/>
    <mergeCell ref="A17:E17"/>
    <mergeCell ref="A24:D24"/>
    <mergeCell ref="A15:B15"/>
  </mergeCells>
  <phoneticPr fontId="17" type="noConversion"/>
  <conditionalFormatting sqref="A1 M2:XFD4 F1:XFD1 A5 F5:XFD5 A17 F17 A22 A16:F16 A15 E15:F15 C15 C22 A24:A25 A6:F11 A19:F21 A23:F23 E22:F22 G4:H4 A29:F29 F25:F28 L3 J4:L4 A30:XFD1048576 G15:G23 A18:XFD18 M6:XFD10 K11:XFD17 E24:G24 H12:J24 A12:G14 G5:L10 G11:J11 G25:XFD29 K19:XFD24">
    <cfRule type="expression" dxfId="12" priority="29">
      <formula>CELL("proteger",A1)=1</formula>
    </cfRule>
  </conditionalFormatting>
  <conditionalFormatting sqref="C2:C4 E4:F4 F2:F3">
    <cfRule type="expression" dxfId="11" priority="28">
      <formula>CELL("proteger",C2)=1</formula>
    </cfRule>
  </conditionalFormatting>
  <conditionalFormatting sqref="D2:D4">
    <cfRule type="expression" dxfId="10" priority="27">
      <formula>CELL("proteger",D2)=1</formula>
    </cfRule>
  </conditionalFormatting>
  <conditionalFormatting sqref="A2:B4">
    <cfRule type="expression" dxfId="9" priority="26">
      <formula>CELL("proteger",A2)=1</formula>
    </cfRule>
  </conditionalFormatting>
  <conditionalFormatting sqref="K2:L2">
    <cfRule type="expression" dxfId="8" priority="3">
      <formula>CELL("proteger",K2)=1</formula>
    </cfRule>
  </conditionalFormatting>
  <conditionalFormatting sqref="J3">
    <cfRule type="expression" dxfId="7" priority="6">
      <formula>CELL("proteger",J3)=1</formula>
    </cfRule>
  </conditionalFormatting>
  <conditionalFormatting sqref="G2:J2 G3:I3 I4">
    <cfRule type="expression" dxfId="6" priority="7">
      <formula>CELL("proteger",G2)=1</formula>
    </cfRule>
  </conditionalFormatting>
  <conditionalFormatting sqref="K3">
    <cfRule type="expression" dxfId="5" priority="4">
      <formula>CELL("proteger",K3)=1</formula>
    </cfRule>
  </conditionalFormatting>
  <conditionalFormatting sqref="E3">
    <cfRule type="expression" dxfId="4" priority="2">
      <formula>CELL("proteger",E3)=1</formula>
    </cfRule>
  </conditionalFormatting>
  <conditionalFormatting sqref="E2">
    <cfRule type="expression" dxfId="3" priority="1">
      <formula>CELL("proteger",E2)=1</formula>
    </cfRule>
  </conditionalFormatting>
  <printOptions horizontalCentered="1"/>
  <pageMargins left="0.39370078740157483" right="0.39370078740157483" top="1.1811023622047245" bottom="0.78740157480314965" header="0.19685039370078741" footer="0.19685039370078741"/>
  <pageSetup paperSize="9" scale="57" fitToHeight="0" orientation="portrait" r:id="rId1"/>
  <headerFooter scaleWithDoc="0">
    <oddHeader>&amp;L&amp;G&amp;RPagina&amp;P &amp;A</oddHeader>
  </headerFooter>
  <drawing r:id="rId2"/>
  <legacyDrawing r:id="rId3"/>
  <legacyDrawingHF r:id="rId4"/>
  <oleObjects>
    <mc:AlternateContent xmlns:mc="http://schemas.openxmlformats.org/markup-compatibility/2006">
      <mc:Choice Requires="x14">
        <oleObject progId="CorelDraw.Graphic.18" shapeId="24577" r:id="rId5">
          <objectPr defaultSize="0" autoPict="0" r:id="rId6">
            <anchor moveWithCells="1">
              <from>
                <xdr:col>0</xdr:col>
                <xdr:colOff>1724025</xdr:colOff>
                <xdr:row>0</xdr:row>
                <xdr:rowOff>123825</xdr:rowOff>
              </from>
              <to>
                <xdr:col>0</xdr:col>
                <xdr:colOff>2647950</xdr:colOff>
                <xdr:row>0</xdr:row>
                <xdr:rowOff>819150</xdr:rowOff>
              </to>
            </anchor>
          </objectPr>
        </oleObject>
      </mc:Choice>
      <mc:Fallback>
        <oleObject progId="CorelDraw.Graphic.18" shapeId="24577" r:id="rId5"/>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268F-DA4C-4DBA-A37B-CDDE38A8404C}">
  <sheetPr>
    <tabColor rgb="FFC00000"/>
    <pageSetUpPr fitToPage="1"/>
  </sheetPr>
  <dimension ref="A1:O29"/>
  <sheetViews>
    <sheetView tabSelected="1" zoomScaleNormal="100" zoomScaleSheetLayoutView="100" workbookViewId="0">
      <selection activeCell="I8" sqref="I8"/>
    </sheetView>
  </sheetViews>
  <sheetFormatPr defaultColWidth="9.125" defaultRowHeight="14.25"/>
  <cols>
    <col min="1" max="1" width="6.25" style="5" customWidth="1"/>
    <col min="2" max="2" width="30.375" style="5" bestFit="1" customWidth="1"/>
    <col min="3" max="3" width="8.5" style="4" bestFit="1" customWidth="1"/>
    <col min="4" max="4" width="11" style="5" bestFit="1" customWidth="1"/>
    <col min="5" max="5" width="14.5" style="5" bestFit="1" customWidth="1"/>
    <col min="6" max="6" width="15.625" style="5" bestFit="1" customWidth="1"/>
    <col min="7" max="7" width="21.875" style="5" bestFit="1" customWidth="1"/>
    <col min="8" max="8" width="14.125" bestFit="1" customWidth="1"/>
    <col min="9" max="9" width="12.875" bestFit="1" customWidth="1"/>
    <col min="10" max="10" width="10.75" bestFit="1" customWidth="1"/>
    <col min="11" max="11" width="14.25" bestFit="1" customWidth="1"/>
    <col min="12" max="14" width="9.125" style="5"/>
    <col min="16" max="16384" width="9.125" style="5"/>
  </cols>
  <sheetData>
    <row r="1" spans="1:15" ht="66.75" customHeight="1" thickBot="1">
      <c r="A1" s="1157" t="s">
        <v>120</v>
      </c>
      <c r="B1" s="1158"/>
      <c r="C1" s="1158"/>
      <c r="D1" s="1158"/>
      <c r="E1" s="1158"/>
      <c r="F1" s="1158"/>
      <c r="G1" s="1159"/>
    </row>
    <row r="2" spans="1:15" ht="24" thickBot="1">
      <c r="A2" s="1070" t="s">
        <v>110</v>
      </c>
      <c r="B2" s="1071"/>
      <c r="C2" s="1071"/>
      <c r="D2" s="1071"/>
      <c r="E2" s="1071"/>
      <c r="F2" s="1071"/>
      <c r="G2" s="1072"/>
    </row>
    <row r="3" spans="1:15" ht="15.75" thickBot="1">
      <c r="A3" s="1066"/>
      <c r="B3" s="1066"/>
      <c r="C3" s="1066"/>
      <c r="D3" s="1066"/>
      <c r="E3" s="1066"/>
      <c r="F3" s="1066"/>
      <c r="G3" s="1066"/>
    </row>
    <row r="4" spans="1:15" ht="15.75">
      <c r="A4" s="1162" t="s">
        <v>236</v>
      </c>
      <c r="B4" s="1163"/>
      <c r="C4" s="1163"/>
      <c r="D4" s="1163"/>
      <c r="E4" s="220"/>
      <c r="F4" s="116" t="s">
        <v>52</v>
      </c>
      <c r="G4" s="744" t="s">
        <v>606</v>
      </c>
    </row>
    <row r="5" spans="1:15" ht="16.5" thickBot="1">
      <c r="A5" s="117" t="s">
        <v>127</v>
      </c>
      <c r="B5" s="118"/>
      <c r="C5" s="118"/>
      <c r="D5" s="118"/>
      <c r="E5" s="118"/>
      <c r="F5" s="119" t="s">
        <v>53</v>
      </c>
      <c r="G5" s="740">
        <v>0</v>
      </c>
    </row>
    <row r="6" spans="1:15" ht="15.75" thickBot="1">
      <c r="A6" s="120"/>
      <c r="B6" s="120"/>
      <c r="C6" s="121"/>
      <c r="D6" s="121"/>
      <c r="E6" s="121"/>
      <c r="F6" s="155"/>
      <c r="G6" s="123"/>
    </row>
    <row r="7" spans="1:15" customFormat="1" ht="47.25">
      <c r="A7" s="221" t="s">
        <v>54</v>
      </c>
      <c r="B7" s="222" t="s">
        <v>55</v>
      </c>
      <c r="C7" s="222" t="s">
        <v>56</v>
      </c>
      <c r="D7" s="222" t="s">
        <v>57</v>
      </c>
      <c r="E7" s="164" t="s">
        <v>515</v>
      </c>
      <c r="F7" s="223" t="s">
        <v>516</v>
      </c>
      <c r="G7" s="224" t="s">
        <v>248</v>
      </c>
      <c r="L7" s="5"/>
      <c r="M7" s="5"/>
      <c r="N7" s="5"/>
    </row>
    <row r="8" spans="1:15" customFormat="1" ht="15.75">
      <c r="A8" s="225">
        <v>1</v>
      </c>
      <c r="B8" s="126" t="s">
        <v>117</v>
      </c>
      <c r="C8" s="127" t="s">
        <v>59</v>
      </c>
      <c r="D8" s="229">
        <v>12</v>
      </c>
      <c r="E8" s="230" t="e">
        <f>('RESUMO COLETA URB'!E10*'RESUMO COLETA URB'!D10)+('RESUMO COLETA URB'!D11*'RESUMO COLETA URB'!E11)</f>
        <v>#DIV/0!</v>
      </c>
      <c r="F8" s="231" t="e">
        <f>TRUNC(E8+E8*$G$5,2)</f>
        <v>#DIV/0!</v>
      </c>
      <c r="G8" s="232" t="e">
        <f>TRUNC(F8*D8,2)</f>
        <v>#DIV/0!</v>
      </c>
      <c r="H8" s="219"/>
      <c r="L8" s="5"/>
      <c r="M8" s="5"/>
      <c r="N8" s="5"/>
    </row>
    <row r="9" spans="1:15" customFormat="1" ht="15.75">
      <c r="A9" s="225">
        <v>2</v>
      </c>
      <c r="B9" s="126" t="s">
        <v>141</v>
      </c>
      <c r="C9" s="127" t="s">
        <v>59</v>
      </c>
      <c r="D9" s="229">
        <v>12</v>
      </c>
      <c r="E9" s="230" t="e">
        <f>'RESUMO COLETA RURAL'!D10*'RESUMO COLETA RURAL'!E10+'RESUMO COLETA RURAL'!D11*'RESUMO COLETA RURAL'!E11</f>
        <v>#DIV/0!</v>
      </c>
      <c r="F9" s="231" t="e">
        <f t="shared" ref="F9:F10" si="0">TRUNC(E9+E9*$G$5,2)</f>
        <v>#DIV/0!</v>
      </c>
      <c r="G9" s="232" t="e">
        <f t="shared" ref="G9:G10" si="1">TRUNC(F9*D9,2)</f>
        <v>#DIV/0!</v>
      </c>
      <c r="H9" s="219"/>
      <c r="L9" s="5"/>
      <c r="M9" s="5"/>
      <c r="N9" s="5"/>
    </row>
    <row r="10" spans="1:15" s="17" customFormat="1" ht="15.75">
      <c r="A10" s="225">
        <v>3</v>
      </c>
      <c r="B10" s="233" t="s">
        <v>104</v>
      </c>
      <c r="C10" s="127" t="s">
        <v>59</v>
      </c>
      <c r="D10" s="229">
        <v>12</v>
      </c>
      <c r="E10" s="230">
        <f>SUM('ADM. LOCAL'!C7:C14,'ADM. LOCAL'!C19:C21)</f>
        <v>0</v>
      </c>
      <c r="F10" s="231">
        <f t="shared" si="0"/>
        <v>0</v>
      </c>
      <c r="G10" s="232">
        <f t="shared" si="1"/>
        <v>0</v>
      </c>
      <c r="H10" s="219"/>
      <c r="I10" s="26"/>
      <c r="L10" s="15"/>
      <c r="M10" s="15"/>
      <c r="N10" s="15"/>
    </row>
    <row r="11" spans="1:15" ht="19.5" thickBot="1">
      <c r="A11" s="1160" t="s">
        <v>62</v>
      </c>
      <c r="B11" s="1161"/>
      <c r="C11" s="1161"/>
      <c r="D11" s="1161"/>
      <c r="E11" s="226"/>
      <c r="F11" s="227" t="e">
        <f>SUM(F8,F9,F10)</f>
        <v>#DIV/0!</v>
      </c>
      <c r="G11" s="228" t="e">
        <f>SUM(G8,G9,G10)</f>
        <v>#DIV/0!</v>
      </c>
      <c r="I11" s="27"/>
    </row>
    <row r="12" spans="1:15" s="28" customFormat="1">
      <c r="A12"/>
      <c r="B12"/>
      <c r="C12"/>
      <c r="D12"/>
      <c r="E12" s="51"/>
      <c r="F12"/>
      <c r="G12"/>
      <c r="H12"/>
      <c r="I12"/>
      <c r="J12"/>
      <c r="K12"/>
      <c r="L12"/>
      <c r="M12"/>
      <c r="N12"/>
      <c r="O12"/>
    </row>
    <row r="13" spans="1:15" s="29" customFormat="1" ht="15">
      <c r="A13"/>
      <c r="B13"/>
      <c r="C13"/>
      <c r="D13"/>
      <c r="E13" s="51"/>
      <c r="F13" s="41"/>
      <c r="G13" s="41"/>
      <c r="H13"/>
      <c r="I13"/>
      <c r="J13"/>
      <c r="K13"/>
      <c r="L13"/>
      <c r="M13"/>
      <c r="N13"/>
      <c r="O13"/>
    </row>
    <row r="14" spans="1:15">
      <c r="A14"/>
      <c r="B14"/>
      <c r="C14"/>
      <c r="D14"/>
      <c r="E14" s="51"/>
      <c r="F14"/>
      <c r="G14"/>
      <c r="L14"/>
      <c r="M14"/>
      <c r="N14"/>
    </row>
    <row r="15" spans="1:15">
      <c r="A15"/>
      <c r="B15"/>
      <c r="C15"/>
      <c r="D15"/>
      <c r="E15" s="51"/>
      <c r="F15" s="41"/>
      <c r="G15"/>
      <c r="L15"/>
      <c r="M15"/>
      <c r="N15"/>
    </row>
    <row r="16" spans="1:15">
      <c r="A16"/>
      <c r="B16"/>
      <c r="C16"/>
      <c r="D16"/>
      <c r="E16" s="51"/>
      <c r="F16"/>
      <c r="G16"/>
      <c r="L16"/>
      <c r="M16"/>
      <c r="N16"/>
    </row>
    <row r="17" spans="1:15" s="15" customFormat="1" ht="15">
      <c r="A17" s="30"/>
      <c r="B17" s="5"/>
      <c r="C17" s="4"/>
      <c r="D17" s="5"/>
      <c r="E17" s="5"/>
      <c r="F17" s="16"/>
      <c r="G17" s="5"/>
      <c r="H17"/>
      <c r="I17"/>
      <c r="J17"/>
      <c r="K17"/>
      <c r="L17"/>
      <c r="M17"/>
      <c r="N17"/>
      <c r="O17"/>
    </row>
    <row r="18" spans="1:15">
      <c r="L18"/>
      <c r="M18"/>
      <c r="N18"/>
    </row>
    <row r="19" spans="1:15" s="29" customFormat="1" ht="15">
      <c r="A19" s="5"/>
      <c r="B19" s="5"/>
      <c r="C19" s="4"/>
      <c r="D19" s="5"/>
      <c r="E19" s="5"/>
      <c r="F19" s="5"/>
      <c r="G19" s="5"/>
      <c r="H19"/>
      <c r="I19"/>
      <c r="J19"/>
      <c r="K19"/>
      <c r="L19"/>
      <c r="M19"/>
      <c r="N19"/>
      <c r="O19"/>
    </row>
    <row r="20" spans="1:15">
      <c r="L20"/>
      <c r="M20"/>
      <c r="N20"/>
    </row>
    <row r="21" spans="1:15">
      <c r="L21"/>
      <c r="M21"/>
      <c r="N21"/>
    </row>
    <row r="22" spans="1:15">
      <c r="L22"/>
      <c r="M22"/>
      <c r="N22"/>
    </row>
    <row r="23" spans="1:15">
      <c r="L23"/>
      <c r="M23"/>
      <c r="N23"/>
    </row>
    <row r="24" spans="1:15">
      <c r="L24"/>
      <c r="M24"/>
      <c r="N24"/>
    </row>
    <row r="25" spans="1:15">
      <c r="L25"/>
      <c r="M25"/>
      <c r="N25"/>
    </row>
    <row r="26" spans="1:15">
      <c r="L26"/>
      <c r="M26"/>
      <c r="N26"/>
    </row>
    <row r="27" spans="1:15" customFormat="1">
      <c r="A27" s="5"/>
      <c r="B27" s="5"/>
      <c r="C27" s="4"/>
      <c r="D27" s="5"/>
      <c r="E27" s="5"/>
      <c r="F27" s="5"/>
      <c r="G27" s="5"/>
    </row>
    <row r="28" spans="1:15" customFormat="1">
      <c r="A28" s="5"/>
      <c r="B28" s="5"/>
      <c r="C28" s="4"/>
      <c r="D28" s="5"/>
      <c r="E28" s="5"/>
      <c r="F28" s="5"/>
      <c r="G28" s="5"/>
    </row>
    <row r="29" spans="1:15" customFormat="1">
      <c r="A29" s="5"/>
      <c r="B29" s="5"/>
      <c r="C29" s="4"/>
      <c r="D29" s="5"/>
      <c r="E29" s="5"/>
      <c r="F29" s="5"/>
      <c r="G29" s="5"/>
    </row>
  </sheetData>
  <sheetProtection algorithmName="SHA-512" hashValue="yo+C6U7KTZfDI8BvAbQHdMgx+HnJVgqCk1gdnKgJEBNJMLzu/0klx6yuQogWaPukdtIL3LYocL3go/KOfwaWiw==" saltValue="XJZXnfZxhv91wDfv3hKcMg==" spinCount="100000" sheet="1" objects="1" scenarios="1"/>
  <protectedRanges>
    <protectedRange sqref="F6:G6" name="Intervalo6_1"/>
    <protectedRange sqref="G5" name="Intervalo4_1"/>
  </protectedRanges>
  <mergeCells count="5">
    <mergeCell ref="A1:G1"/>
    <mergeCell ref="A2:G2"/>
    <mergeCell ref="A3:G3"/>
    <mergeCell ref="A11:D11"/>
    <mergeCell ref="A4:D4"/>
  </mergeCells>
  <conditionalFormatting sqref="A4 F4 A1:XFD3 A6:XFD1048576 A5:F5 H4:XFD5">
    <cfRule type="expression" dxfId="2" priority="3">
      <formula>CELL("proteger",A1)=1</formula>
    </cfRule>
  </conditionalFormatting>
  <conditionalFormatting sqref="I10:I11">
    <cfRule type="colorScale" priority="24">
      <colorScale>
        <cfvo type="min"/>
        <cfvo type="percentile" val="50"/>
        <cfvo type="max"/>
        <color rgb="FF63BE7B"/>
        <color rgb="FFFFEB84"/>
        <color rgb="FFF8696B"/>
      </colorScale>
    </cfRule>
  </conditionalFormatting>
  <conditionalFormatting sqref="G5">
    <cfRule type="expression" dxfId="1" priority="2">
      <formula>CELL("proteger",G5)=1</formula>
    </cfRule>
  </conditionalFormatting>
  <conditionalFormatting sqref="G4">
    <cfRule type="expression" dxfId="0" priority="1">
      <formula>CELL("proteger",G4)=1</formula>
    </cfRule>
  </conditionalFormatting>
  <printOptions horizontalCentered="1"/>
  <pageMargins left="0.39370078740157483" right="0.39370078740157483" top="1.1811023622047245" bottom="0.78740157480314965" header="0.19685039370078741" footer="0.19685039370078741"/>
  <pageSetup paperSize="9" scale="79" fitToHeight="0" orientation="portrait" r:id="rId1"/>
  <headerFooter scaleWithDoc="0">
    <oddHeader>&amp;L&amp;G&amp;RPagina&amp;P &amp;A</oddHeader>
  </headerFooter>
  <drawing r:id="rId2"/>
  <legacyDrawing r:id="rId3"/>
  <legacyDrawingHF r:id="rId4"/>
  <oleObjects>
    <mc:AlternateContent xmlns:mc="http://schemas.openxmlformats.org/markup-compatibility/2006">
      <mc:Choice Requires="x14">
        <oleObject progId="CorelDraw.Graphic.18" shapeId="32769" r:id="rId5">
          <objectPr defaultSize="0" autoPict="0" r:id="rId6">
            <anchor moveWithCells="1">
              <from>
                <xdr:col>1</xdr:col>
                <xdr:colOff>314325</xdr:colOff>
                <xdr:row>0</xdr:row>
                <xdr:rowOff>95250</xdr:rowOff>
              </from>
              <to>
                <xdr:col>1</xdr:col>
                <xdr:colOff>1228725</xdr:colOff>
                <xdr:row>0</xdr:row>
                <xdr:rowOff>781050</xdr:rowOff>
              </to>
            </anchor>
          </objectPr>
        </oleObject>
      </mc:Choice>
      <mc:Fallback>
        <oleObject progId="CorelDraw.Graphic.18" shapeId="32769"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D112-4462-4EEE-866D-684000DBEEA3}">
  <sheetPr>
    <tabColor theme="4" tint="0.79998168889431442"/>
    <pageSetUpPr fitToPage="1"/>
  </sheetPr>
  <dimension ref="A1:B48"/>
  <sheetViews>
    <sheetView view="pageBreakPreview" topLeftCell="A13" zoomScaleNormal="100" zoomScaleSheetLayoutView="100" workbookViewId="0">
      <selection activeCell="E6" sqref="E6"/>
    </sheetView>
  </sheetViews>
  <sheetFormatPr defaultRowHeight="14.25"/>
  <cols>
    <col min="1" max="1" width="67.875" style="51" bestFit="1" customWidth="1"/>
    <col min="2" max="2" width="10.875" style="51" customWidth="1"/>
    <col min="3" max="16384" width="9" style="51"/>
  </cols>
  <sheetData>
    <row r="1" spans="1:2" ht="69" customHeight="1" thickBot="1">
      <c r="A1" s="755" t="s">
        <v>563</v>
      </c>
      <c r="B1" s="755"/>
    </row>
    <row r="2" spans="1:2" ht="15" customHeight="1" thickBot="1">
      <c r="A2" s="547"/>
      <c r="B2" s="548"/>
    </row>
    <row r="3" spans="1:2" ht="15">
      <c r="A3" s="549" t="s">
        <v>568</v>
      </c>
      <c r="B3" s="550"/>
    </row>
    <row r="4" spans="1:2" ht="15">
      <c r="A4" s="551" t="s">
        <v>63</v>
      </c>
      <c r="B4" s="545">
        <v>0</v>
      </c>
    </row>
    <row r="5" spans="1:2" ht="15">
      <c r="A5" s="551" t="s">
        <v>64</v>
      </c>
      <c r="B5" s="545">
        <v>0</v>
      </c>
    </row>
    <row r="6" spans="1:2" ht="15">
      <c r="A6" s="551" t="s">
        <v>65</v>
      </c>
      <c r="B6" s="545">
        <v>0</v>
      </c>
    </row>
    <row r="7" spans="1:2" ht="15">
      <c r="A7" s="551" t="s">
        <v>66</v>
      </c>
      <c r="B7" s="545">
        <v>0</v>
      </c>
    </row>
    <row r="8" spans="1:2" ht="15">
      <c r="A8" s="551" t="s">
        <v>67</v>
      </c>
      <c r="B8" s="545">
        <v>0</v>
      </c>
    </row>
    <row r="9" spans="1:2" ht="15">
      <c r="A9" s="551" t="s">
        <v>68</v>
      </c>
      <c r="B9" s="545">
        <v>0</v>
      </c>
    </row>
    <row r="10" spans="1:2" ht="15">
      <c r="A10" s="551" t="s">
        <v>569</v>
      </c>
      <c r="B10" s="545">
        <v>0</v>
      </c>
    </row>
    <row r="11" spans="1:2" ht="15">
      <c r="A11" s="551" t="s">
        <v>69</v>
      </c>
      <c r="B11" s="545">
        <v>0</v>
      </c>
    </row>
    <row r="12" spans="1:2" ht="15">
      <c r="A12" s="551" t="s">
        <v>570</v>
      </c>
      <c r="B12" s="545">
        <v>0</v>
      </c>
    </row>
    <row r="13" spans="1:2" ht="15.75" thickBot="1">
      <c r="A13" s="552" t="s">
        <v>70</v>
      </c>
      <c r="B13" s="553">
        <f>ROUND(SUM(B4:B12),4)</f>
        <v>0</v>
      </c>
    </row>
    <row r="14" spans="1:2" ht="15.75" thickBot="1">
      <c r="A14" s="554"/>
      <c r="B14" s="555"/>
    </row>
    <row r="15" spans="1:2" ht="15">
      <c r="A15" s="549" t="s">
        <v>571</v>
      </c>
      <c r="B15" s="550"/>
    </row>
    <row r="16" spans="1:2" ht="15">
      <c r="A16" s="551" t="s">
        <v>572</v>
      </c>
      <c r="B16" s="545">
        <v>0</v>
      </c>
    </row>
    <row r="17" spans="1:2" ht="15">
      <c r="A17" s="551" t="s">
        <v>573</v>
      </c>
      <c r="B17" s="545">
        <v>0</v>
      </c>
    </row>
    <row r="18" spans="1:2" ht="15">
      <c r="A18" s="551" t="s">
        <v>574</v>
      </c>
      <c r="B18" s="545">
        <v>0</v>
      </c>
    </row>
    <row r="19" spans="1:2" ht="15">
      <c r="A19" s="551" t="s">
        <v>575</v>
      </c>
      <c r="B19" s="545">
        <v>0</v>
      </c>
    </row>
    <row r="20" spans="1:2" ht="15">
      <c r="A20" s="551" t="s">
        <v>576</v>
      </c>
      <c r="B20" s="545">
        <v>0</v>
      </c>
    </row>
    <row r="21" spans="1:2" ht="15">
      <c r="A21" s="551" t="s">
        <v>577</v>
      </c>
      <c r="B21" s="545">
        <v>0</v>
      </c>
    </row>
    <row r="22" spans="1:2" ht="15">
      <c r="A22" s="551" t="s">
        <v>578</v>
      </c>
      <c r="B22" s="545">
        <v>0</v>
      </c>
    </row>
    <row r="23" spans="1:2" ht="15">
      <c r="A23" s="551" t="s">
        <v>579</v>
      </c>
      <c r="B23" s="545">
        <v>0</v>
      </c>
    </row>
    <row r="24" spans="1:2" ht="15">
      <c r="A24" s="556" t="s">
        <v>580</v>
      </c>
      <c r="B24" s="546">
        <v>0</v>
      </c>
    </row>
    <row r="25" spans="1:2" ht="15">
      <c r="A25" s="556" t="s">
        <v>581</v>
      </c>
      <c r="B25" s="546">
        <v>0</v>
      </c>
    </row>
    <row r="26" spans="1:2" ht="15.75" thickBot="1">
      <c r="A26" s="552" t="s">
        <v>71</v>
      </c>
      <c r="B26" s="553">
        <f>SUM(B16:B25)</f>
        <v>0</v>
      </c>
    </row>
    <row r="27" spans="1:2" ht="15.75" thickBot="1">
      <c r="A27" s="554"/>
      <c r="B27" s="555"/>
    </row>
    <row r="28" spans="1:2" ht="15">
      <c r="A28" s="549" t="s">
        <v>582</v>
      </c>
      <c r="B28" s="557"/>
    </row>
    <row r="29" spans="1:2" ht="15">
      <c r="A29" s="551" t="s">
        <v>583</v>
      </c>
      <c r="B29" s="545">
        <v>0</v>
      </c>
    </row>
    <row r="30" spans="1:2" ht="15">
      <c r="A30" s="551" t="s">
        <v>584</v>
      </c>
      <c r="B30" s="545">
        <v>0</v>
      </c>
    </row>
    <row r="31" spans="1:2" ht="15">
      <c r="A31" s="551" t="s">
        <v>585</v>
      </c>
      <c r="B31" s="545">
        <v>0</v>
      </c>
    </row>
    <row r="32" spans="1:2" ht="15">
      <c r="A32" s="551" t="s">
        <v>586</v>
      </c>
      <c r="B32" s="545">
        <v>0</v>
      </c>
    </row>
    <row r="33" spans="1:2" ht="15">
      <c r="A33" s="556" t="s">
        <v>587</v>
      </c>
      <c r="B33" s="546">
        <v>0</v>
      </c>
    </row>
    <row r="34" spans="1:2" ht="15.75" thickBot="1">
      <c r="A34" s="552" t="s">
        <v>72</v>
      </c>
      <c r="B34" s="553">
        <f>SUM(B29:B33)</f>
        <v>0</v>
      </c>
    </row>
    <row r="35" spans="1:2" ht="15.75" thickBot="1">
      <c r="A35" s="554"/>
      <c r="B35" s="558"/>
    </row>
    <row r="36" spans="1:2" ht="15">
      <c r="A36" s="559" t="s">
        <v>588</v>
      </c>
      <c r="B36" s="557"/>
    </row>
    <row r="37" spans="1:2" ht="30">
      <c r="A37" s="560" t="s">
        <v>589</v>
      </c>
      <c r="B37" s="546">
        <v>0</v>
      </c>
    </row>
    <row r="38" spans="1:2" ht="30">
      <c r="A38" s="561" t="s">
        <v>590</v>
      </c>
      <c r="B38" s="546">
        <v>0</v>
      </c>
    </row>
    <row r="39" spans="1:2" ht="15.75" thickBot="1">
      <c r="A39" s="552" t="s">
        <v>73</v>
      </c>
      <c r="B39" s="562">
        <f>SUM(B37:B38)</f>
        <v>0</v>
      </c>
    </row>
    <row r="40" spans="1:2" ht="15">
      <c r="A40" s="563"/>
      <c r="B40" s="564"/>
    </row>
    <row r="41" spans="1:2" ht="15.75" thickBot="1">
      <c r="A41" s="563"/>
      <c r="B41" s="564"/>
    </row>
    <row r="42" spans="1:2" ht="15">
      <c r="A42" s="565" t="s">
        <v>591</v>
      </c>
      <c r="B42" s="566">
        <f>TRUNC(B13+B26+B34+B39,4)</f>
        <v>0</v>
      </c>
    </row>
    <row r="43" spans="1:2" ht="15.75" thickBot="1">
      <c r="A43" s="567"/>
      <c r="B43" s="568"/>
    </row>
    <row r="44" spans="1:2">
      <c r="A44" s="32"/>
      <c r="B44" s="31"/>
    </row>
    <row r="45" spans="1:2">
      <c r="B45" s="31"/>
    </row>
    <row r="46" spans="1:2">
      <c r="B46" s="31"/>
    </row>
    <row r="47" spans="1:2">
      <c r="B47" s="31"/>
    </row>
    <row r="48" spans="1:2">
      <c r="B48" s="31"/>
    </row>
  </sheetData>
  <sheetProtection algorithmName="SHA-512" hashValue="a+vdrZpM+eSdXGUkMSqsTrxi98Fcmd+CKLRz0m8Xa/29BmkxC7CAVuqjLw9oX1bdxZ4lMByVBLB4fF65yvSD+Q==" saltValue="2JvEXj2jyYtMHKgRsZzVlA==" spinCount="100000" sheet="1" objects="1" scenarios="1"/>
  <protectedRanges>
    <protectedRange sqref="A47:A48" name="Intervalo5_2_1_1_1_2"/>
  </protectedRanges>
  <mergeCells count="1">
    <mergeCell ref="A1:B1"/>
  </mergeCells>
  <conditionalFormatting sqref="A1:XFD1048576">
    <cfRule type="expression" dxfId="26" priority="1">
      <formula>CELL("proteger",A1)=1</formula>
    </cfRule>
  </conditionalFormatting>
  <printOptions horizontalCentered="1"/>
  <pageMargins left="0.7" right="0.7" top="0.75" bottom="0.75" header="0.3" footer="0.3"/>
  <pageSetup paperSize="9" fitToHeight="0" orientation="portrait" r:id="rId1"/>
  <headerFooter scaleWithDoc="0"/>
  <drawing r:id="rId2"/>
  <legacyDrawing r:id="rId3"/>
  <legacyDrawingHF r:id="rId4"/>
  <oleObjects>
    <mc:AlternateContent xmlns:mc="http://schemas.openxmlformats.org/markup-compatibility/2006">
      <mc:Choice Requires="x14">
        <oleObject progId="CorelDraw.Graphic.18" shapeId="43009" r:id="rId5">
          <objectPr defaultSize="0" autoPict="0" r:id="rId6">
            <anchor moveWithCells="1">
              <from>
                <xdr:col>0</xdr:col>
                <xdr:colOff>1181100</xdr:colOff>
                <xdr:row>0</xdr:row>
                <xdr:rowOff>114300</xdr:rowOff>
              </from>
              <to>
                <xdr:col>0</xdr:col>
                <xdr:colOff>2095500</xdr:colOff>
                <xdr:row>0</xdr:row>
                <xdr:rowOff>800100</xdr:rowOff>
              </to>
            </anchor>
          </objectPr>
        </oleObject>
      </mc:Choice>
      <mc:Fallback>
        <oleObject progId="CorelDraw.Graphic.18" shapeId="43009"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4A7A-247C-4151-907C-85A32BD83C0B}">
  <sheetPr>
    <tabColor theme="4" tint="0.79998168889431442"/>
    <pageSetUpPr fitToPage="1"/>
  </sheetPr>
  <dimension ref="A1:K27"/>
  <sheetViews>
    <sheetView view="pageBreakPreview" zoomScaleNormal="100" zoomScaleSheetLayoutView="100" workbookViewId="0">
      <selection sqref="A1:G1"/>
    </sheetView>
  </sheetViews>
  <sheetFormatPr defaultColWidth="9.125" defaultRowHeight="14.25"/>
  <cols>
    <col min="1" max="1" width="10.875" style="5" bestFit="1" customWidth="1"/>
    <col min="2" max="4" width="9.125" style="5"/>
    <col min="5" max="5" width="12.75" style="5" customWidth="1"/>
    <col min="6" max="6" width="12.375" style="5" bestFit="1" customWidth="1"/>
    <col min="7" max="7" width="12.375" style="5" customWidth="1"/>
    <col min="8" max="9" width="9.125" style="5"/>
    <col min="10" max="10" width="10.375" style="5" customWidth="1"/>
    <col min="11" max="12" width="12.375" style="5" bestFit="1" customWidth="1"/>
    <col min="13" max="13" width="9.125" style="5"/>
    <col min="14" max="14" width="6.375" style="5" customWidth="1"/>
    <col min="15" max="16384" width="9.125" style="5"/>
  </cols>
  <sheetData>
    <row r="1" spans="1:11" ht="52.5" customHeight="1" thickBot="1">
      <c r="A1" s="758" t="s">
        <v>74</v>
      </c>
      <c r="B1" s="759"/>
      <c r="C1" s="759"/>
      <c r="D1" s="759"/>
      <c r="E1" s="759"/>
      <c r="F1" s="759"/>
      <c r="G1" s="760"/>
    </row>
    <row r="2" spans="1:11" ht="7.5" customHeight="1">
      <c r="A2" s="569"/>
      <c r="B2" s="570"/>
      <c r="C2" s="570"/>
      <c r="D2" s="570"/>
      <c r="E2" s="570"/>
      <c r="F2" s="570"/>
      <c r="G2" s="571"/>
    </row>
    <row r="3" spans="1:11">
      <c r="A3" s="761" t="s">
        <v>360</v>
      </c>
      <c r="B3" s="762"/>
      <c r="C3" s="762"/>
      <c r="D3" s="762"/>
      <c r="E3" s="762"/>
      <c r="F3" s="762"/>
      <c r="G3" s="763"/>
    </row>
    <row r="4" spans="1:11">
      <c r="A4" s="764" t="s">
        <v>75</v>
      </c>
      <c r="B4" s="765"/>
      <c r="C4" s="765"/>
      <c r="D4" s="765"/>
      <c r="E4" s="572" t="s">
        <v>76</v>
      </c>
      <c r="F4" s="572" t="s">
        <v>77</v>
      </c>
      <c r="G4" s="573" t="s">
        <v>78</v>
      </c>
    </row>
    <row r="5" spans="1:11">
      <c r="A5" s="756" t="s">
        <v>79</v>
      </c>
      <c r="B5" s="757"/>
      <c r="C5" s="757"/>
      <c r="D5" s="757"/>
      <c r="E5" s="362">
        <v>4</v>
      </c>
      <c r="F5" s="238">
        <v>0</v>
      </c>
      <c r="G5" s="603">
        <f t="shared" ref="G5:G11" si="0">ROUND(E5*F5,2)</f>
        <v>0</v>
      </c>
    </row>
    <row r="6" spans="1:11">
      <c r="A6" s="756" t="s">
        <v>80</v>
      </c>
      <c r="B6" s="757"/>
      <c r="C6" s="757"/>
      <c r="D6" s="757"/>
      <c r="E6" s="362">
        <v>4</v>
      </c>
      <c r="F6" s="238">
        <v>0</v>
      </c>
      <c r="G6" s="603">
        <f t="shared" si="0"/>
        <v>0</v>
      </c>
    </row>
    <row r="7" spans="1:11">
      <c r="A7" s="756" t="s">
        <v>81</v>
      </c>
      <c r="B7" s="757"/>
      <c r="C7" s="757"/>
      <c r="D7" s="757"/>
      <c r="E7" s="362">
        <f>1*2</f>
        <v>2</v>
      </c>
      <c r="F7" s="238">
        <v>0</v>
      </c>
      <c r="G7" s="603">
        <f t="shared" si="0"/>
        <v>0</v>
      </c>
    </row>
    <row r="8" spans="1:11">
      <c r="A8" s="756" t="s">
        <v>82</v>
      </c>
      <c r="B8" s="757"/>
      <c r="C8" s="757"/>
      <c r="D8" s="757"/>
      <c r="E8" s="362">
        <v>2</v>
      </c>
      <c r="F8" s="238">
        <v>0</v>
      </c>
      <c r="G8" s="603">
        <f t="shared" si="0"/>
        <v>0</v>
      </c>
    </row>
    <row r="9" spans="1:11">
      <c r="A9" s="756" t="s">
        <v>83</v>
      </c>
      <c r="B9" s="757"/>
      <c r="C9" s="757"/>
      <c r="D9" s="757"/>
      <c r="E9" s="363">
        <v>1</v>
      </c>
      <c r="F9" s="238">
        <v>0</v>
      </c>
      <c r="G9" s="603">
        <f t="shared" si="0"/>
        <v>0</v>
      </c>
    </row>
    <row r="10" spans="1:11">
      <c r="A10" s="772" t="s">
        <v>88</v>
      </c>
      <c r="B10" s="773"/>
      <c r="C10" s="773"/>
      <c r="D10" s="774"/>
      <c r="E10" s="362">
        <v>6</v>
      </c>
      <c r="F10" s="239">
        <v>0</v>
      </c>
      <c r="G10" s="603">
        <f t="shared" si="0"/>
        <v>0</v>
      </c>
    </row>
    <row r="11" spans="1:11">
      <c r="A11" s="766" t="s">
        <v>84</v>
      </c>
      <c r="B11" s="767"/>
      <c r="C11" s="767"/>
      <c r="D11" s="767"/>
      <c r="E11" s="364">
        <v>12</v>
      </c>
      <c r="F11" s="238">
        <v>0</v>
      </c>
      <c r="G11" s="603">
        <f t="shared" si="0"/>
        <v>0</v>
      </c>
    </row>
    <row r="12" spans="1:11">
      <c r="A12" s="770" t="s">
        <v>85</v>
      </c>
      <c r="B12" s="771"/>
      <c r="C12" s="771"/>
      <c r="D12" s="771"/>
      <c r="E12" s="771"/>
      <c r="F12" s="771"/>
      <c r="G12" s="603">
        <f>SUM(G5:G11)</f>
        <v>0</v>
      </c>
    </row>
    <row r="13" spans="1:11">
      <c r="A13" s="768" t="s">
        <v>103</v>
      </c>
      <c r="B13" s="769"/>
      <c r="C13" s="769"/>
      <c r="D13" s="769"/>
      <c r="E13" s="769"/>
      <c r="F13" s="769"/>
      <c r="G13" s="604">
        <f>ROUND(G12/12,2)</f>
        <v>0</v>
      </c>
      <c r="K13" s="30" t="s">
        <v>553</v>
      </c>
    </row>
    <row r="14" spans="1:11">
      <c r="A14" s="768" t="s">
        <v>102</v>
      </c>
      <c r="B14" s="769"/>
      <c r="C14" s="769"/>
      <c r="D14" s="769"/>
      <c r="E14" s="769"/>
      <c r="F14" s="769"/>
      <c r="G14" s="604">
        <f>SUM(G5:G10)/12</f>
        <v>0</v>
      </c>
    </row>
    <row r="15" spans="1:11">
      <c r="A15" s="574"/>
      <c r="B15" s="575"/>
      <c r="C15" s="575"/>
      <c r="D15" s="575"/>
      <c r="E15" s="575"/>
      <c r="F15" s="575"/>
      <c r="G15" s="576"/>
    </row>
    <row r="16" spans="1:11">
      <c r="A16" s="784" t="s">
        <v>434</v>
      </c>
      <c r="B16" s="785"/>
      <c r="C16" s="785"/>
      <c r="D16" s="785"/>
      <c r="E16" s="785"/>
      <c r="F16" s="785"/>
      <c r="G16" s="786"/>
    </row>
    <row r="17" spans="1:7">
      <c r="A17" s="787" t="s">
        <v>75</v>
      </c>
      <c r="B17" s="788"/>
      <c r="C17" s="788"/>
      <c r="D17" s="789"/>
      <c r="E17" s="572" t="s">
        <v>76</v>
      </c>
      <c r="F17" s="577" t="s">
        <v>77</v>
      </c>
      <c r="G17" s="573" t="s">
        <v>78</v>
      </c>
    </row>
    <row r="18" spans="1:7">
      <c r="A18" s="772" t="s">
        <v>86</v>
      </c>
      <c r="B18" s="773"/>
      <c r="C18" s="773"/>
      <c r="D18" s="774"/>
      <c r="E18" s="362">
        <v>4</v>
      </c>
      <c r="F18" s="239">
        <v>0</v>
      </c>
      <c r="G18" s="603">
        <f t="shared" ref="G18:G24" si="1">ROUND(E18*F18,2)</f>
        <v>0</v>
      </c>
    </row>
    <row r="19" spans="1:7">
      <c r="A19" s="772" t="s">
        <v>80</v>
      </c>
      <c r="B19" s="773"/>
      <c r="C19" s="773"/>
      <c r="D19" s="774"/>
      <c r="E19" s="362">
        <v>4</v>
      </c>
      <c r="F19" s="239">
        <v>0</v>
      </c>
      <c r="G19" s="603">
        <f t="shared" si="1"/>
        <v>0</v>
      </c>
    </row>
    <row r="20" spans="1:7">
      <c r="A20" s="772" t="s">
        <v>81</v>
      </c>
      <c r="B20" s="773"/>
      <c r="C20" s="773"/>
      <c r="D20" s="774"/>
      <c r="E20" s="362">
        <v>2</v>
      </c>
      <c r="F20" s="239">
        <v>0</v>
      </c>
      <c r="G20" s="603">
        <f t="shared" si="1"/>
        <v>0</v>
      </c>
    </row>
    <row r="21" spans="1:7">
      <c r="A21" s="772" t="s">
        <v>82</v>
      </c>
      <c r="B21" s="773"/>
      <c r="C21" s="773"/>
      <c r="D21" s="774"/>
      <c r="E21" s="362">
        <v>2</v>
      </c>
      <c r="F21" s="239">
        <v>0</v>
      </c>
      <c r="G21" s="603">
        <f t="shared" si="1"/>
        <v>0</v>
      </c>
    </row>
    <row r="22" spans="1:7">
      <c r="A22" s="772" t="s">
        <v>87</v>
      </c>
      <c r="B22" s="773"/>
      <c r="C22" s="773"/>
      <c r="D22" s="774"/>
      <c r="E22" s="362">
        <f>1*1</f>
        <v>1</v>
      </c>
      <c r="F22" s="239">
        <v>0</v>
      </c>
      <c r="G22" s="603">
        <f t="shared" si="1"/>
        <v>0</v>
      </c>
    </row>
    <row r="23" spans="1:7">
      <c r="A23" s="772" t="s">
        <v>88</v>
      </c>
      <c r="B23" s="773"/>
      <c r="C23" s="773"/>
      <c r="D23" s="774"/>
      <c r="E23" s="362">
        <v>52</v>
      </c>
      <c r="F23" s="239">
        <v>0</v>
      </c>
      <c r="G23" s="603">
        <f t="shared" si="1"/>
        <v>0</v>
      </c>
    </row>
    <row r="24" spans="1:7">
      <c r="A24" s="781" t="s">
        <v>89</v>
      </c>
      <c r="B24" s="782"/>
      <c r="C24" s="782"/>
      <c r="D24" s="783"/>
      <c r="E24" s="364">
        <v>12</v>
      </c>
      <c r="F24" s="238">
        <v>0</v>
      </c>
      <c r="G24" s="603">
        <f t="shared" si="1"/>
        <v>0</v>
      </c>
    </row>
    <row r="25" spans="1:7">
      <c r="A25" s="777" t="s">
        <v>85</v>
      </c>
      <c r="B25" s="778"/>
      <c r="C25" s="778"/>
      <c r="D25" s="778"/>
      <c r="E25" s="778"/>
      <c r="F25" s="778"/>
      <c r="G25" s="604">
        <f>SUM(G18:G24)</f>
        <v>0</v>
      </c>
    </row>
    <row r="26" spans="1:7">
      <c r="A26" s="779" t="s">
        <v>103</v>
      </c>
      <c r="B26" s="780"/>
      <c r="C26" s="780"/>
      <c r="D26" s="780"/>
      <c r="E26" s="780"/>
      <c r="F26" s="780"/>
      <c r="G26" s="604">
        <f>ROUND(G25/12,2)</f>
        <v>0</v>
      </c>
    </row>
    <row r="27" spans="1:7" ht="15" thickBot="1">
      <c r="A27" s="775" t="s">
        <v>102</v>
      </c>
      <c r="B27" s="776"/>
      <c r="C27" s="776"/>
      <c r="D27" s="776"/>
      <c r="E27" s="776"/>
      <c r="F27" s="776"/>
      <c r="G27" s="605">
        <f>SUM(G18:G23)/12</f>
        <v>0</v>
      </c>
    </row>
  </sheetData>
  <sheetProtection algorithmName="SHA-512" hashValue="A0yxz5hbqeBiuqG6zwygSS2zdp4v39i1ZfGVC7dFYhCbdqvGuGXYxvtomJNEVPPKopOWhPO2LPqEdex2Ef8YVQ==" saltValue="grMmHVoAEa2VnXWiyOIQ4g==" spinCount="100000" sheet="1" objects="1" scenarios="1"/>
  <protectedRanges>
    <protectedRange sqref="G12:G13 F18:F23 E24:F24 E5:G9 E11:G11 F10" name="Intervalo5"/>
    <protectedRange sqref="G18:G24 E18:E23 E17:G17 G10 E10" name="Intervalo6"/>
    <protectedRange sqref="E14:F14" name="Intervalo5_1"/>
    <protectedRange sqref="E12:F13" name="Intervalo5_2"/>
    <protectedRange sqref="G25" name="Intervalo7_1"/>
    <protectedRange sqref="E27:F27 E26:G26" name="Intervalo5_3"/>
  </protectedRanges>
  <mergeCells count="25">
    <mergeCell ref="A21:D21"/>
    <mergeCell ref="A22:D22"/>
    <mergeCell ref="A19:D19"/>
    <mergeCell ref="A20:D20"/>
    <mergeCell ref="A16:G16"/>
    <mergeCell ref="A17:D17"/>
    <mergeCell ref="A18:D18"/>
    <mergeCell ref="A27:F27"/>
    <mergeCell ref="A25:F25"/>
    <mergeCell ref="A26:F26"/>
    <mergeCell ref="A23:D23"/>
    <mergeCell ref="A24:D24"/>
    <mergeCell ref="A9:D9"/>
    <mergeCell ref="A11:D11"/>
    <mergeCell ref="A6:D6"/>
    <mergeCell ref="A7:D7"/>
    <mergeCell ref="A14:F14"/>
    <mergeCell ref="A12:F12"/>
    <mergeCell ref="A13:F13"/>
    <mergeCell ref="A10:D10"/>
    <mergeCell ref="A5:D5"/>
    <mergeCell ref="A1:G1"/>
    <mergeCell ref="A3:G3"/>
    <mergeCell ref="A4:D4"/>
    <mergeCell ref="A8:D8"/>
  </mergeCells>
  <conditionalFormatting sqref="A1:XFD1048576">
    <cfRule type="expression" dxfId="25" priority="8">
      <formula>CELL("proteger",A1)=1</formula>
    </cfRule>
  </conditionalFormatting>
  <printOptions horizontalCentered="1"/>
  <pageMargins left="0.39370078740157483" right="0.39370078740157483" top="1.1811023622047245" bottom="0.78740157480314965" header="0.19685039370078741" footer="0.19685039370078741"/>
  <pageSetup paperSize="9" fitToWidth="0" orientation="portrait" r:id="rId1"/>
  <headerFooter scaleWithDoc="0">
    <oddHeader>&amp;L&amp;G&amp;RPagina&amp;P &amp;A</oddHeader>
  </headerFooter>
  <drawing r:id="rId2"/>
  <legacyDrawing r:id="rId3"/>
  <legacyDrawingHF r:id="rId4"/>
  <oleObjects>
    <mc:AlternateContent xmlns:mc="http://schemas.openxmlformats.org/markup-compatibility/2006">
      <mc:Choice Requires="x14">
        <oleObject progId="CorelDraw.Graphic.18" shapeId="2049" r:id="rId5">
          <objectPr defaultSize="0" autoPict="0" r:id="rId6">
            <anchor moveWithCells="1">
              <from>
                <xdr:col>0</xdr:col>
                <xdr:colOff>257175</xdr:colOff>
                <xdr:row>0</xdr:row>
                <xdr:rowOff>66675</xdr:rowOff>
              </from>
              <to>
                <xdr:col>1</xdr:col>
                <xdr:colOff>142875</xdr:colOff>
                <xdr:row>0</xdr:row>
                <xdr:rowOff>600075</xdr:rowOff>
              </to>
            </anchor>
          </objectPr>
        </oleObject>
      </mc:Choice>
      <mc:Fallback>
        <oleObject progId="CorelDraw.Graphic.18" shapeId="2049"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D22F-3903-4B10-BAEF-548330F03801}">
  <sheetPr>
    <tabColor theme="7" tint="0.79998168889431442"/>
  </sheetPr>
  <dimension ref="A1:L32"/>
  <sheetViews>
    <sheetView view="pageBreakPreview" topLeftCell="A5" zoomScaleNormal="100" zoomScaleSheetLayoutView="100" workbookViewId="0">
      <selection activeCell="A31" sqref="A31:J31"/>
    </sheetView>
  </sheetViews>
  <sheetFormatPr defaultRowHeight="14.25"/>
  <cols>
    <col min="1" max="1" width="13.125" style="51" bestFit="1" customWidth="1"/>
    <col min="2" max="2" width="10.375" style="51" bestFit="1" customWidth="1"/>
    <col min="3" max="16384" width="9" style="51"/>
  </cols>
  <sheetData>
    <row r="1" spans="1:10">
      <c r="A1" s="816" t="s">
        <v>548</v>
      </c>
      <c r="B1" s="817"/>
      <c r="C1" s="817"/>
      <c r="D1" s="817"/>
      <c r="E1" s="817"/>
      <c r="F1" s="817"/>
      <c r="G1" s="817"/>
      <c r="H1" s="817"/>
      <c r="I1" s="817"/>
      <c r="J1" s="818"/>
    </row>
    <row r="2" spans="1:10">
      <c r="A2" s="819"/>
      <c r="B2" s="820"/>
      <c r="C2" s="820"/>
      <c r="D2" s="820"/>
      <c r="E2" s="820"/>
      <c r="F2" s="820"/>
      <c r="G2" s="820"/>
      <c r="H2" s="820"/>
      <c r="I2" s="820"/>
      <c r="J2" s="821"/>
    </row>
    <row r="3" spans="1:10">
      <c r="A3" s="819"/>
      <c r="B3" s="820"/>
      <c r="C3" s="820"/>
      <c r="D3" s="820"/>
      <c r="E3" s="820"/>
      <c r="F3" s="820"/>
      <c r="G3" s="820"/>
      <c r="H3" s="820"/>
      <c r="I3" s="820"/>
      <c r="J3" s="821"/>
    </row>
    <row r="4" spans="1:10">
      <c r="A4" s="819"/>
      <c r="B4" s="820"/>
      <c r="C4" s="820"/>
      <c r="D4" s="820"/>
      <c r="E4" s="820"/>
      <c r="F4" s="820"/>
      <c r="G4" s="820"/>
      <c r="H4" s="820"/>
      <c r="I4" s="820"/>
      <c r="J4" s="821"/>
    </row>
    <row r="5" spans="1:10">
      <c r="A5" s="822"/>
      <c r="B5" s="823"/>
      <c r="C5" s="823"/>
      <c r="D5" s="823"/>
      <c r="E5" s="823"/>
      <c r="F5" s="823"/>
      <c r="G5" s="823"/>
      <c r="H5" s="823"/>
      <c r="I5" s="823"/>
      <c r="J5" s="824"/>
    </row>
    <row r="6" spans="1:10" ht="15.75">
      <c r="A6" s="831"/>
      <c r="B6" s="832"/>
      <c r="C6" s="832"/>
      <c r="D6" s="832"/>
      <c r="E6" s="832"/>
      <c r="F6" s="832"/>
      <c r="G6" s="832"/>
      <c r="H6" s="832"/>
      <c r="I6" s="832"/>
      <c r="J6" s="833"/>
    </row>
    <row r="7" spans="1:10" ht="15">
      <c r="A7" s="578" t="s">
        <v>549</v>
      </c>
      <c r="B7" s="825" t="s">
        <v>550</v>
      </c>
      <c r="C7" s="825"/>
      <c r="D7" s="825"/>
      <c r="E7" s="825"/>
      <c r="F7" s="825"/>
      <c r="G7" s="825"/>
      <c r="H7" s="825"/>
      <c r="I7" s="825"/>
      <c r="J7" s="826"/>
    </row>
    <row r="8" spans="1:10" ht="15">
      <c r="A8" s="579" t="s">
        <v>517</v>
      </c>
      <c r="B8" s="827"/>
      <c r="C8" s="827"/>
      <c r="D8" s="827"/>
      <c r="E8" s="827"/>
      <c r="F8" s="827"/>
      <c r="G8" s="827"/>
      <c r="H8" s="827"/>
      <c r="I8" s="827"/>
      <c r="J8" s="828"/>
    </row>
    <row r="9" spans="1:10" ht="15">
      <c r="A9" s="579" t="s">
        <v>518</v>
      </c>
      <c r="B9" s="827" t="s">
        <v>551</v>
      </c>
      <c r="C9" s="827"/>
      <c r="D9" s="827"/>
      <c r="E9" s="827"/>
      <c r="F9" s="827"/>
      <c r="G9" s="827"/>
      <c r="H9" s="827"/>
      <c r="I9" s="827"/>
      <c r="J9" s="828"/>
    </row>
    <row r="10" spans="1:10" ht="15">
      <c r="A10" s="580" t="s">
        <v>519</v>
      </c>
      <c r="B10" s="829">
        <v>0</v>
      </c>
      <c r="C10" s="829"/>
      <c r="D10" s="829"/>
      <c r="E10" s="829"/>
      <c r="F10" s="829"/>
      <c r="G10" s="829"/>
      <c r="H10" s="829"/>
      <c r="I10" s="829"/>
      <c r="J10" s="830"/>
    </row>
    <row r="11" spans="1:10" ht="30.75" customHeight="1">
      <c r="A11" s="581" t="s">
        <v>520</v>
      </c>
      <c r="B11" s="807" t="s">
        <v>552</v>
      </c>
      <c r="C11" s="808"/>
      <c r="D11" s="808"/>
      <c r="E11" s="808"/>
      <c r="F11" s="808"/>
      <c r="G11" s="808"/>
      <c r="H11" s="808"/>
      <c r="I11" s="808"/>
      <c r="J11" s="809"/>
    </row>
    <row r="12" spans="1:10" ht="15">
      <c r="A12" s="810" t="s">
        <v>521</v>
      </c>
      <c r="B12" s="811"/>
      <c r="C12" s="811"/>
      <c r="D12" s="811"/>
      <c r="E12" s="811"/>
      <c r="F12" s="811"/>
      <c r="G12" s="811"/>
      <c r="H12" s="811"/>
      <c r="I12" s="811"/>
      <c r="J12" s="582">
        <v>1</v>
      </c>
    </row>
    <row r="13" spans="1:10" ht="15">
      <c r="A13" s="812" t="s">
        <v>522</v>
      </c>
      <c r="B13" s="813"/>
      <c r="C13" s="813"/>
      <c r="D13" s="813"/>
      <c r="E13" s="813"/>
      <c r="F13" s="813"/>
      <c r="G13" s="813"/>
      <c r="H13" s="813"/>
      <c r="I13" s="813"/>
      <c r="J13" s="583">
        <v>0.03</v>
      </c>
    </row>
    <row r="14" spans="1:10" ht="15">
      <c r="A14" s="814" t="s">
        <v>523</v>
      </c>
      <c r="B14" s="815"/>
      <c r="C14" s="815"/>
      <c r="D14" s="815"/>
      <c r="E14" s="584" t="s">
        <v>524</v>
      </c>
      <c r="F14" s="815" t="s">
        <v>525</v>
      </c>
      <c r="G14" s="815"/>
      <c r="H14" s="584" t="s">
        <v>91</v>
      </c>
      <c r="I14" s="584" t="s">
        <v>526</v>
      </c>
      <c r="J14" s="585" t="s">
        <v>92</v>
      </c>
    </row>
    <row r="15" spans="1:10" ht="15">
      <c r="A15" s="801" t="s">
        <v>527</v>
      </c>
      <c r="B15" s="802"/>
      <c r="C15" s="802"/>
      <c r="D15" s="802"/>
      <c r="E15" s="361" t="s">
        <v>528</v>
      </c>
      <c r="F15" s="803">
        <v>0</v>
      </c>
      <c r="G15" s="803"/>
      <c r="H15" s="586">
        <v>3.4299999999999997E-2</v>
      </c>
      <c r="I15" s="586">
        <v>4.9299999999999997E-2</v>
      </c>
      <c r="J15" s="587">
        <v>6.7100000000000007E-2</v>
      </c>
    </row>
    <row r="16" spans="1:10" ht="15">
      <c r="A16" s="801" t="s">
        <v>529</v>
      </c>
      <c r="B16" s="802"/>
      <c r="C16" s="802"/>
      <c r="D16" s="802"/>
      <c r="E16" s="361" t="s">
        <v>530</v>
      </c>
      <c r="F16" s="803">
        <v>0</v>
      </c>
      <c r="G16" s="803"/>
      <c r="H16" s="586">
        <v>2.8E-3</v>
      </c>
      <c r="I16" s="586">
        <v>4.8999999999999998E-3</v>
      </c>
      <c r="J16" s="587">
        <v>7.4999999999999997E-3</v>
      </c>
    </row>
    <row r="17" spans="1:12" ht="15">
      <c r="A17" s="801" t="s">
        <v>531</v>
      </c>
      <c r="B17" s="802"/>
      <c r="C17" s="802"/>
      <c r="D17" s="802"/>
      <c r="E17" s="361" t="s">
        <v>532</v>
      </c>
      <c r="F17" s="803">
        <v>0</v>
      </c>
      <c r="G17" s="803"/>
      <c r="H17" s="586">
        <v>0.01</v>
      </c>
      <c r="I17" s="586">
        <v>1.3899999999999999E-2</v>
      </c>
      <c r="J17" s="587">
        <v>1.7399999999999999E-2</v>
      </c>
    </row>
    <row r="18" spans="1:12" ht="15">
      <c r="A18" s="801" t="s">
        <v>90</v>
      </c>
      <c r="B18" s="802"/>
      <c r="C18" s="802"/>
      <c r="D18" s="802"/>
      <c r="E18" s="361" t="s">
        <v>533</v>
      </c>
      <c r="F18" s="803">
        <v>0</v>
      </c>
      <c r="G18" s="803"/>
      <c r="H18" s="586">
        <v>9.4000000000000004E-3</v>
      </c>
      <c r="I18" s="586">
        <v>9.9000000000000008E-3</v>
      </c>
      <c r="J18" s="587">
        <v>1.17E-2</v>
      </c>
    </row>
    <row r="19" spans="1:12" ht="15">
      <c r="A19" s="801" t="s">
        <v>534</v>
      </c>
      <c r="B19" s="802"/>
      <c r="C19" s="802"/>
      <c r="D19" s="802"/>
      <c r="E19" s="361" t="s">
        <v>535</v>
      </c>
      <c r="F19" s="803">
        <v>0</v>
      </c>
      <c r="G19" s="803"/>
      <c r="H19" s="586">
        <v>6.7400000000000002E-2</v>
      </c>
      <c r="I19" s="586">
        <v>8.0399999999999999E-2</v>
      </c>
      <c r="J19" s="587">
        <v>9.4E-2</v>
      </c>
    </row>
    <row r="20" spans="1:12" ht="15">
      <c r="A20" s="801" t="s">
        <v>536</v>
      </c>
      <c r="B20" s="802"/>
      <c r="C20" s="802"/>
      <c r="D20" s="802"/>
      <c r="E20" s="361" t="s">
        <v>537</v>
      </c>
      <c r="F20" s="803">
        <v>0</v>
      </c>
      <c r="G20" s="803"/>
      <c r="H20" s="586">
        <f>0.03+0.0065</f>
        <v>3.6499999999999998E-2</v>
      </c>
      <c r="I20" s="586">
        <f t="shared" ref="I20:J20" si="0">0.03+0.0065</f>
        <v>3.6499999999999998E-2</v>
      </c>
      <c r="J20" s="587">
        <f t="shared" si="0"/>
        <v>3.6499999999999998E-2</v>
      </c>
    </row>
    <row r="21" spans="1:12" ht="15">
      <c r="A21" s="801" t="s">
        <v>538</v>
      </c>
      <c r="B21" s="802"/>
      <c r="C21" s="802"/>
      <c r="D21" s="802"/>
      <c r="E21" s="361" t="s">
        <v>539</v>
      </c>
      <c r="F21" s="803">
        <v>0</v>
      </c>
      <c r="G21" s="803"/>
      <c r="H21" s="586">
        <v>0.03</v>
      </c>
      <c r="I21" s="586">
        <v>0.03</v>
      </c>
      <c r="J21" s="587">
        <v>0.03</v>
      </c>
    </row>
    <row r="22" spans="1:12" ht="15">
      <c r="A22" s="801" t="s">
        <v>540</v>
      </c>
      <c r="B22" s="802"/>
      <c r="C22" s="802"/>
      <c r="D22" s="802"/>
      <c r="E22" s="361" t="s">
        <v>541</v>
      </c>
      <c r="F22" s="803">
        <v>0</v>
      </c>
      <c r="G22" s="803"/>
      <c r="H22" s="586">
        <v>0</v>
      </c>
      <c r="I22" s="586">
        <v>0</v>
      </c>
      <c r="J22" s="587">
        <v>0</v>
      </c>
    </row>
    <row r="23" spans="1:12" ht="15">
      <c r="A23" s="804" t="s">
        <v>542</v>
      </c>
      <c r="B23" s="805"/>
      <c r="C23" s="805"/>
      <c r="D23" s="805"/>
      <c r="E23" s="805"/>
      <c r="F23" s="806">
        <f>(((1+F15+F16+F17)*(1+F18)*(1+F19)/(1-F20-F21-F22))-1)</f>
        <v>0</v>
      </c>
      <c r="G23" s="806"/>
      <c r="H23" s="588">
        <f>(((1+H15+H16+H17)*(1+H18)*(1+H19)/(1-H20-H21-H22))-1)</f>
        <v>0.20854920265238341</v>
      </c>
      <c r="I23" s="588">
        <f>(((1+I15+I16+I17)*(1+I18)*(1+I19)/(1-I20-I21-I22))-1)</f>
        <v>0.24841949102945882</v>
      </c>
      <c r="J23" s="589">
        <f>(((1+J15+J16+J17)*(1+J18)*(1+J19)/(1-J20-J21-J22))-1)</f>
        <v>0.29472456518478873</v>
      </c>
      <c r="L23" s="35"/>
    </row>
    <row r="24" spans="1:12" ht="15">
      <c r="A24" s="798"/>
      <c r="B24" s="799"/>
      <c r="C24" s="799"/>
      <c r="D24" s="799"/>
      <c r="E24" s="799"/>
      <c r="F24" s="799"/>
      <c r="G24" s="799"/>
      <c r="H24" s="799"/>
      <c r="I24" s="799"/>
      <c r="J24" s="800"/>
    </row>
    <row r="25" spans="1:12" ht="14.25" customHeight="1">
      <c r="A25" s="790" t="s">
        <v>543</v>
      </c>
      <c r="B25" s="793"/>
      <c r="C25" s="793"/>
      <c r="D25" s="793"/>
      <c r="E25" s="793"/>
      <c r="F25" s="793"/>
      <c r="G25" s="793"/>
      <c r="H25" s="793"/>
      <c r="I25" s="793"/>
      <c r="J25" s="794"/>
    </row>
    <row r="26" spans="1:12">
      <c r="A26" s="790"/>
      <c r="B26" s="793"/>
      <c r="C26" s="793"/>
      <c r="D26" s="793"/>
      <c r="E26" s="793"/>
      <c r="F26" s="793"/>
      <c r="G26" s="793"/>
      <c r="H26" s="793"/>
      <c r="I26" s="793"/>
      <c r="J26" s="794"/>
    </row>
    <row r="27" spans="1:12" ht="15">
      <c r="A27" s="590"/>
      <c r="B27" s="591"/>
      <c r="C27" s="591"/>
      <c r="D27" s="591"/>
      <c r="E27" s="591"/>
      <c r="F27" s="591"/>
      <c r="G27" s="591"/>
      <c r="H27" s="591"/>
      <c r="I27" s="591"/>
      <c r="J27" s="592"/>
    </row>
    <row r="28" spans="1:12" ht="14.25" customHeight="1">
      <c r="A28" s="593" t="s">
        <v>544</v>
      </c>
      <c r="B28" s="594" t="s">
        <v>545</v>
      </c>
      <c r="C28" s="795" t="s">
        <v>546</v>
      </c>
      <c r="D28" s="795"/>
      <c r="E28" s="795"/>
      <c r="F28" s="796">
        <v>-1</v>
      </c>
      <c r="G28" s="595"/>
      <c r="H28" s="595"/>
      <c r="I28" s="595"/>
      <c r="J28" s="596"/>
    </row>
    <row r="29" spans="1:12" ht="15">
      <c r="A29" s="597"/>
      <c r="B29" s="598"/>
      <c r="C29" s="797" t="s">
        <v>547</v>
      </c>
      <c r="D29" s="797"/>
      <c r="E29" s="797"/>
      <c r="F29" s="796"/>
      <c r="G29" s="598"/>
      <c r="H29" s="598"/>
      <c r="I29" s="598"/>
      <c r="J29" s="599"/>
    </row>
    <row r="30" spans="1:12" ht="15">
      <c r="A30" s="597"/>
      <c r="B30" s="598"/>
      <c r="C30" s="598"/>
      <c r="D30" s="598"/>
      <c r="E30" s="598"/>
      <c r="F30" s="598"/>
      <c r="G30" s="598"/>
      <c r="H30" s="598"/>
      <c r="I30" s="598"/>
      <c r="J30" s="599"/>
    </row>
    <row r="31" spans="1:12" ht="31.5" customHeight="1">
      <c r="A31" s="790" t="s">
        <v>559</v>
      </c>
      <c r="B31" s="791"/>
      <c r="C31" s="791"/>
      <c r="D31" s="791"/>
      <c r="E31" s="791"/>
      <c r="F31" s="791"/>
      <c r="G31" s="791"/>
      <c r="H31" s="791"/>
      <c r="I31" s="791"/>
      <c r="J31" s="792"/>
    </row>
    <row r="32" spans="1:12" ht="15">
      <c r="A32" s="600"/>
      <c r="B32" s="601"/>
      <c r="C32" s="601"/>
      <c r="D32" s="601"/>
      <c r="E32" s="601"/>
      <c r="F32" s="601"/>
      <c r="G32" s="601"/>
      <c r="H32" s="601"/>
      <c r="I32" s="601"/>
      <c r="J32" s="602"/>
    </row>
  </sheetData>
  <sheetProtection algorithmName="SHA-512" hashValue="ThBz1vExNyOsm9LxVMMMqIJMy2PmrBHwBn5D9d4tyOGKs9lir1djxD3KJXc3oG04IMh0ErElZzfzjy3e6NZFQQ==" saltValue="0rcN3PTO5Y/Zyjw9g3XunA==" spinCount="100000" sheet="1" objects="1" scenarios="1"/>
  <mergeCells count="35">
    <mergeCell ref="A1:J5"/>
    <mergeCell ref="B7:J7"/>
    <mergeCell ref="B8:J8"/>
    <mergeCell ref="B9:J9"/>
    <mergeCell ref="B10:J10"/>
    <mergeCell ref="A6:J6"/>
    <mergeCell ref="B11:J11"/>
    <mergeCell ref="A12:I12"/>
    <mergeCell ref="A13:I13"/>
    <mergeCell ref="A14:D14"/>
    <mergeCell ref="F14:G14"/>
    <mergeCell ref="A15:D15"/>
    <mergeCell ref="F15:G15"/>
    <mergeCell ref="A16:D16"/>
    <mergeCell ref="F16:G16"/>
    <mergeCell ref="A17:D17"/>
    <mergeCell ref="F17:G17"/>
    <mergeCell ref="A18:D18"/>
    <mergeCell ref="F18:G18"/>
    <mergeCell ref="A19:D19"/>
    <mergeCell ref="F19:G19"/>
    <mergeCell ref="A20:D20"/>
    <mergeCell ref="F20:G20"/>
    <mergeCell ref="A24:J24"/>
    <mergeCell ref="A21:D21"/>
    <mergeCell ref="F21:G21"/>
    <mergeCell ref="A22:D22"/>
    <mergeCell ref="F22:G22"/>
    <mergeCell ref="A23:E23"/>
    <mergeCell ref="F23:G23"/>
    <mergeCell ref="A31:J31"/>
    <mergeCell ref="A25:J26"/>
    <mergeCell ref="C28:E28"/>
    <mergeCell ref="F28:F29"/>
    <mergeCell ref="C29:E29"/>
  </mergeCells>
  <pageMargins left="0.511811024" right="0.511811024" top="0.78740157499999996" bottom="0.78740157499999996" header="0.31496062000000002" footer="0.31496062000000002"/>
  <pageSetup paperSize="9" scale="89" orientation="portrait" r:id="rId1"/>
  <drawing r:id="rId2"/>
  <legacyDrawing r:id="rId3"/>
  <oleObjects>
    <mc:AlternateContent xmlns:mc="http://schemas.openxmlformats.org/markup-compatibility/2006">
      <mc:Choice Requires="x14">
        <oleObject progId="CorelDraw.Graphic.18" shapeId="18433" r:id="rId4">
          <objectPr defaultSize="0" autoPict="0" r:id="rId5">
            <anchor moveWithCells="1">
              <from>
                <xdr:col>0</xdr:col>
                <xdr:colOff>381000</xdr:colOff>
                <xdr:row>0</xdr:row>
                <xdr:rowOff>161925</xdr:rowOff>
              </from>
              <to>
                <xdr:col>1</xdr:col>
                <xdr:colOff>228600</xdr:colOff>
                <xdr:row>4</xdr:row>
                <xdr:rowOff>66675</xdr:rowOff>
              </to>
            </anchor>
          </objectPr>
        </oleObject>
      </mc:Choice>
      <mc:Fallback>
        <oleObject progId="CorelDraw.Graphic.18" shapeId="1843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E73E0-1A95-4014-B289-3FC5404E1ACD}">
  <sheetPr>
    <tabColor theme="1" tint="0.249977111117893"/>
    <pageSetUpPr fitToPage="1"/>
  </sheetPr>
  <dimension ref="A1:Q203"/>
  <sheetViews>
    <sheetView view="pageBreakPreview" topLeftCell="A40" zoomScale="115" zoomScaleNormal="100" zoomScaleSheetLayoutView="115" workbookViewId="0">
      <selection activeCell="F14" sqref="F14:K14"/>
    </sheetView>
  </sheetViews>
  <sheetFormatPr defaultColWidth="9.125" defaultRowHeight="14.25"/>
  <cols>
    <col min="1" max="1" width="6" style="18" customWidth="1"/>
    <col min="2" max="2" width="7.625" style="21" bestFit="1" customWidth="1"/>
    <col min="3" max="3" width="27.25" style="21" customWidth="1"/>
    <col min="4" max="4" width="10.75" style="18" bestFit="1" customWidth="1"/>
    <col min="5" max="5" width="12.625" style="18" bestFit="1" customWidth="1"/>
    <col min="6" max="6" width="11.625" style="18" bestFit="1" customWidth="1"/>
    <col min="7" max="7" width="12" style="18" bestFit="1" customWidth="1"/>
    <col min="8" max="8" width="13.5" style="18" bestFit="1" customWidth="1"/>
    <col min="9" max="9" width="13" style="19" bestFit="1" customWidth="1"/>
    <col min="10" max="10" width="9" style="19" bestFit="1" customWidth="1"/>
    <col min="11" max="11" width="11.625" style="1" bestFit="1" customWidth="1"/>
    <col min="12" max="12" width="31.75" style="1" bestFit="1" customWidth="1"/>
    <col min="13" max="15" width="9.125" style="1"/>
    <col min="16" max="16" width="14" style="1" bestFit="1" customWidth="1"/>
    <col min="17" max="16384" width="9.125" style="1"/>
  </cols>
  <sheetData>
    <row r="1" spans="1:17" ht="52.5" customHeight="1" thickBot="1">
      <c r="A1" s="864" t="s">
        <v>128</v>
      </c>
      <c r="B1" s="865"/>
      <c r="C1" s="865"/>
      <c r="D1" s="865"/>
      <c r="E1" s="865"/>
      <c r="F1" s="865"/>
      <c r="G1" s="865"/>
      <c r="H1" s="865"/>
      <c r="I1" s="865"/>
      <c r="J1" s="865"/>
      <c r="K1" s="866"/>
      <c r="L1" s="92"/>
      <c r="M1" s="94"/>
      <c r="N1" s="94"/>
      <c r="O1" s="94"/>
      <c r="P1" s="20"/>
      <c r="Q1" s="20"/>
    </row>
    <row r="2" spans="1:17" ht="7.9" customHeight="1" thickBot="1">
      <c r="A2" s="365"/>
      <c r="B2" s="366"/>
      <c r="C2" s="366"/>
      <c r="D2" s="366"/>
      <c r="E2" s="366"/>
      <c r="F2" s="366"/>
      <c r="G2" s="366"/>
      <c r="H2" s="366"/>
      <c r="I2" s="366"/>
      <c r="J2" s="366"/>
      <c r="K2" s="367"/>
      <c r="L2" s="92"/>
      <c r="M2" s="92"/>
      <c r="N2" s="92"/>
      <c r="O2" s="92"/>
    </row>
    <row r="3" spans="1:17" ht="21.6" customHeight="1" thickBot="1">
      <c r="A3" s="864" t="s">
        <v>498</v>
      </c>
      <c r="B3" s="865"/>
      <c r="C3" s="865"/>
      <c r="D3" s="865"/>
      <c r="E3" s="865"/>
      <c r="F3" s="865"/>
      <c r="G3" s="865"/>
      <c r="H3" s="865"/>
      <c r="I3" s="865"/>
      <c r="J3" s="865"/>
      <c r="K3" s="866"/>
      <c r="L3" s="92"/>
      <c r="M3" s="92"/>
      <c r="N3" s="92"/>
      <c r="O3" s="92"/>
    </row>
    <row r="4" spans="1:17" ht="15.75" thickBot="1">
      <c r="A4" s="871" t="s">
        <v>96</v>
      </c>
      <c r="B4" s="872"/>
      <c r="C4" s="368">
        <f>ROUND(365/12/7,4)</f>
        <v>4.3452000000000002</v>
      </c>
      <c r="D4" s="369"/>
      <c r="E4" s="369"/>
      <c r="F4" s="369"/>
      <c r="G4" s="369"/>
      <c r="H4" s="369"/>
      <c r="I4" s="369"/>
      <c r="J4" s="369"/>
      <c r="K4" s="370"/>
      <c r="L4" s="92"/>
      <c r="M4" s="92"/>
      <c r="N4" s="92"/>
      <c r="O4" s="92"/>
    </row>
    <row r="5" spans="1:17" ht="75.75" thickBot="1">
      <c r="A5" s="371" t="s">
        <v>97</v>
      </c>
      <c r="B5" s="372" t="s">
        <v>98</v>
      </c>
      <c r="C5" s="372" t="s">
        <v>132</v>
      </c>
      <c r="D5" s="373" t="s">
        <v>489</v>
      </c>
      <c r="E5" s="373" t="s">
        <v>490</v>
      </c>
      <c r="F5" s="373" t="s">
        <v>492</v>
      </c>
      <c r="G5" s="373" t="s">
        <v>493</v>
      </c>
      <c r="H5" s="373" t="s">
        <v>494</v>
      </c>
      <c r="I5" s="373" t="s">
        <v>495</v>
      </c>
      <c r="J5" s="374" t="s">
        <v>496</v>
      </c>
      <c r="K5" s="375" t="s">
        <v>497</v>
      </c>
      <c r="L5" s="92"/>
      <c r="M5" s="92"/>
      <c r="N5" s="92"/>
      <c r="O5" s="92"/>
    </row>
    <row r="6" spans="1:17" s="43" customFormat="1" ht="15">
      <c r="A6" s="376">
        <v>1</v>
      </c>
      <c r="B6" s="377" t="s">
        <v>435</v>
      </c>
      <c r="C6" s="378" t="s">
        <v>437</v>
      </c>
      <c r="D6" s="379" t="s">
        <v>100</v>
      </c>
      <c r="E6" s="377">
        <f>TRUNC(((D19/(SUM(F6:F9)))*F6),2)</f>
        <v>1.61</v>
      </c>
      <c r="F6" s="377">
        <f>J43</f>
        <v>17.809999999999999</v>
      </c>
      <c r="G6" s="379">
        <v>6</v>
      </c>
      <c r="H6" s="379">
        <v>0</v>
      </c>
      <c r="I6" s="377">
        <v>3.7</v>
      </c>
      <c r="J6" s="379">
        <v>1</v>
      </c>
      <c r="K6" s="380">
        <f>(((2*H6)+F6+(I6*2*J6))*G6)*semanas_mês</f>
        <v>657.254952</v>
      </c>
      <c r="L6" s="95"/>
      <c r="M6" s="96"/>
      <c r="N6" s="96"/>
      <c r="O6" s="96"/>
    </row>
    <row r="7" spans="1:17" s="43" customFormat="1" ht="30">
      <c r="A7" s="381">
        <v>2</v>
      </c>
      <c r="B7" s="382" t="s">
        <v>430</v>
      </c>
      <c r="C7" s="383" t="s">
        <v>438</v>
      </c>
      <c r="D7" s="384" t="s">
        <v>100</v>
      </c>
      <c r="E7" s="382">
        <f>TRUNC(((D19/(SUM(F6:F9)))*F7),2)</f>
        <v>1.59</v>
      </c>
      <c r="F7" s="382">
        <f>J45</f>
        <v>17.690000000000001</v>
      </c>
      <c r="G7" s="384">
        <v>6</v>
      </c>
      <c r="H7" s="384">
        <v>1.4</v>
      </c>
      <c r="I7" s="382">
        <v>2.2000000000000002</v>
      </c>
      <c r="J7" s="384">
        <v>1</v>
      </c>
      <c r="K7" s="385">
        <f>(((2*H7)+F7+(I7*2*J7))*G7)*semanas_mês</f>
        <v>648.91216800000007</v>
      </c>
      <c r="L7" s="95"/>
      <c r="M7" s="96"/>
      <c r="N7" s="96"/>
      <c r="O7" s="96"/>
    </row>
    <row r="8" spans="1:17" ht="30">
      <c r="A8" s="386">
        <v>3</v>
      </c>
      <c r="B8" s="387" t="s">
        <v>431</v>
      </c>
      <c r="C8" s="388" t="s">
        <v>439</v>
      </c>
      <c r="D8" s="389" t="s">
        <v>100</v>
      </c>
      <c r="E8" s="389">
        <f>TRUNC(((D19/(SUM(F6:F9)))*F8),2)</f>
        <v>2.35</v>
      </c>
      <c r="F8" s="390">
        <f>J51</f>
        <v>26</v>
      </c>
      <c r="G8" s="389">
        <v>6</v>
      </c>
      <c r="H8" s="389">
        <v>1.3</v>
      </c>
      <c r="I8" s="390">
        <v>4.7</v>
      </c>
      <c r="J8" s="389">
        <v>1</v>
      </c>
      <c r="K8" s="391">
        <f>(((2*H8)+F8+(I8*2*J8))*G8)*semanas_mês</f>
        <v>990.7056</v>
      </c>
      <c r="L8" s="95"/>
      <c r="M8" s="96"/>
      <c r="N8" s="94"/>
      <c r="O8" s="92"/>
    </row>
    <row r="9" spans="1:17" ht="45">
      <c r="A9" s="381">
        <v>4</v>
      </c>
      <c r="B9" s="382" t="s">
        <v>436</v>
      </c>
      <c r="C9" s="383" t="s">
        <v>440</v>
      </c>
      <c r="D9" s="384" t="s">
        <v>100</v>
      </c>
      <c r="E9" s="384">
        <f>TRUNC(((D19/(SUM(F6:F9)))*F9),2)</f>
        <v>2.0699999999999998</v>
      </c>
      <c r="F9" s="392">
        <f>J56</f>
        <v>23</v>
      </c>
      <c r="G9" s="384">
        <v>6</v>
      </c>
      <c r="H9" s="384">
        <v>1.9</v>
      </c>
      <c r="I9" s="382">
        <v>2.7</v>
      </c>
      <c r="J9" s="384">
        <v>1</v>
      </c>
      <c r="K9" s="385">
        <f>(((2*H9)+F9+(I9*2*J9))*G9)*semanas_mês</f>
        <v>839.49264000000005</v>
      </c>
      <c r="L9" s="95"/>
      <c r="M9" s="96"/>
      <c r="N9" s="94"/>
      <c r="O9" s="92"/>
    </row>
    <row r="10" spans="1:17" ht="18">
      <c r="A10" s="878" t="s">
        <v>101</v>
      </c>
      <c r="B10" s="879"/>
      <c r="C10" s="879"/>
      <c r="D10" s="879"/>
      <c r="E10" s="879"/>
      <c r="F10" s="879"/>
      <c r="G10" s="879"/>
      <c r="H10" s="879"/>
      <c r="I10" s="879"/>
      <c r="J10" s="879"/>
      <c r="K10" s="393">
        <f>TRUNC(SUM(K6:K9),2)</f>
        <v>3136.36</v>
      </c>
      <c r="L10" s="92"/>
      <c r="M10" s="92"/>
      <c r="N10" s="92"/>
      <c r="O10" s="92"/>
      <c r="P10" s="3"/>
    </row>
    <row r="11" spans="1:17" ht="18.75" thickBot="1">
      <c r="A11" s="876" t="s">
        <v>133</v>
      </c>
      <c r="B11" s="877"/>
      <c r="C11" s="877"/>
      <c r="D11" s="877"/>
      <c r="E11" s="877"/>
      <c r="F11" s="877"/>
      <c r="G11" s="877"/>
      <c r="H11" s="877"/>
      <c r="I11" s="877"/>
      <c r="J11" s="877"/>
      <c r="K11" s="394">
        <f>TRUNC(K10/dias_mes,2)</f>
        <v>124.21</v>
      </c>
      <c r="L11" s="92"/>
      <c r="M11" s="92"/>
      <c r="N11" s="92"/>
      <c r="O11" s="92"/>
      <c r="P11" s="3"/>
    </row>
    <row r="12" spans="1:17" ht="15.75" thickBot="1">
      <c r="A12" s="873"/>
      <c r="B12" s="874"/>
      <c r="C12" s="874"/>
      <c r="D12" s="874"/>
      <c r="E12" s="874"/>
      <c r="F12" s="874"/>
      <c r="G12" s="874"/>
      <c r="H12" s="874"/>
      <c r="I12" s="874"/>
      <c r="J12" s="874"/>
      <c r="K12" s="875"/>
      <c r="L12" s="92"/>
      <c r="M12" s="92"/>
      <c r="N12" s="94"/>
      <c r="O12" s="92"/>
    </row>
    <row r="13" spans="1:17" ht="21" customHeight="1" thickBot="1">
      <c r="A13" s="898" t="s">
        <v>433</v>
      </c>
      <c r="B13" s="899"/>
      <c r="C13" s="899"/>
      <c r="D13" s="899"/>
      <c r="E13" s="899"/>
      <c r="F13" s="899"/>
      <c r="G13" s="899"/>
      <c r="H13" s="899"/>
      <c r="I13" s="899"/>
      <c r="J13" s="899"/>
      <c r="K13" s="900"/>
      <c r="L13" s="99"/>
      <c r="M13" s="94"/>
      <c r="N13" s="94"/>
      <c r="O13" s="94"/>
      <c r="P13" s="20"/>
      <c r="Q13" s="20"/>
    </row>
    <row r="14" spans="1:17" ht="16.5" thickBot="1">
      <c r="A14" s="907" t="s">
        <v>365</v>
      </c>
      <c r="B14" s="908"/>
      <c r="C14" s="908"/>
      <c r="D14" s="395" t="s">
        <v>366</v>
      </c>
      <c r="E14" s="395" t="s">
        <v>10</v>
      </c>
      <c r="F14" s="908" t="s">
        <v>367</v>
      </c>
      <c r="G14" s="908"/>
      <c r="H14" s="908"/>
      <c r="I14" s="908"/>
      <c r="J14" s="908"/>
      <c r="K14" s="909"/>
      <c r="L14" s="99"/>
      <c r="M14" s="94"/>
      <c r="N14" s="94"/>
      <c r="O14" s="94"/>
      <c r="P14" s="20"/>
      <c r="Q14" s="20"/>
    </row>
    <row r="15" spans="1:17" ht="26.25" customHeight="1">
      <c r="A15" s="867" t="s">
        <v>186</v>
      </c>
      <c r="B15" s="868"/>
      <c r="C15" s="868"/>
      <c r="D15" s="396">
        <v>19192</v>
      </c>
      <c r="E15" s="397" t="s">
        <v>1</v>
      </c>
      <c r="F15" s="901" t="s">
        <v>368</v>
      </c>
      <c r="G15" s="902"/>
      <c r="H15" s="902"/>
      <c r="I15" s="902"/>
      <c r="J15" s="902"/>
      <c r="K15" s="903"/>
      <c r="L15" s="99"/>
      <c r="M15" s="94"/>
      <c r="N15" s="94"/>
      <c r="O15" s="94"/>
      <c r="P15" s="20"/>
      <c r="Q15" s="20"/>
    </row>
    <row r="16" spans="1:17" ht="15">
      <c r="A16" s="869" t="s">
        <v>389</v>
      </c>
      <c r="B16" s="870"/>
      <c r="C16" s="870"/>
      <c r="D16" s="398">
        <v>15281</v>
      </c>
      <c r="E16" s="399" t="s">
        <v>1</v>
      </c>
      <c r="F16" s="880" t="s">
        <v>16</v>
      </c>
      <c r="G16" s="881"/>
      <c r="H16" s="881"/>
      <c r="I16" s="881"/>
      <c r="J16" s="881"/>
      <c r="K16" s="882"/>
      <c r="L16" s="99"/>
      <c r="M16" s="94"/>
      <c r="N16" s="94"/>
      <c r="O16" s="94"/>
      <c r="P16" s="20"/>
      <c r="Q16" s="20"/>
    </row>
    <row r="17" spans="1:17" ht="24.75" customHeight="1">
      <c r="A17" s="869" t="s">
        <v>390</v>
      </c>
      <c r="B17" s="870"/>
      <c r="C17" s="870"/>
      <c r="D17" s="400">
        <v>0.5</v>
      </c>
      <c r="E17" s="399" t="s">
        <v>477</v>
      </c>
      <c r="F17" s="904" t="s">
        <v>479</v>
      </c>
      <c r="G17" s="905"/>
      <c r="H17" s="905"/>
      <c r="I17" s="905"/>
      <c r="J17" s="905"/>
      <c r="K17" s="906"/>
      <c r="L17" s="99"/>
      <c r="M17" s="94"/>
      <c r="N17" s="94"/>
      <c r="O17" s="94"/>
      <c r="P17" s="20"/>
      <c r="Q17" s="20"/>
    </row>
    <row r="18" spans="1:17" ht="15">
      <c r="A18" s="869" t="s">
        <v>2</v>
      </c>
      <c r="B18" s="870"/>
      <c r="C18" s="870"/>
      <c r="D18" s="400">
        <f>D16*D17</f>
        <v>7640.5</v>
      </c>
      <c r="E18" s="399" t="s">
        <v>3</v>
      </c>
      <c r="F18" s="880" t="s">
        <v>387</v>
      </c>
      <c r="G18" s="881"/>
      <c r="H18" s="881"/>
      <c r="I18" s="881"/>
      <c r="J18" s="881"/>
      <c r="K18" s="882"/>
      <c r="L18" s="90"/>
      <c r="M18" s="93"/>
      <c r="N18" s="90"/>
      <c r="O18" s="94"/>
      <c r="P18" s="20"/>
      <c r="Q18" s="20"/>
    </row>
    <row r="19" spans="1:17" ht="15">
      <c r="A19" s="869" t="s">
        <v>398</v>
      </c>
      <c r="B19" s="870"/>
      <c r="C19" s="870"/>
      <c r="D19" s="400">
        <f>TRUNC(D18/1000,2)</f>
        <v>7.64</v>
      </c>
      <c r="E19" s="399" t="s">
        <v>187</v>
      </c>
      <c r="F19" s="880" t="s">
        <v>386</v>
      </c>
      <c r="G19" s="881"/>
      <c r="H19" s="881"/>
      <c r="I19" s="881"/>
      <c r="J19" s="881"/>
      <c r="K19" s="882"/>
      <c r="L19" s="99"/>
      <c r="M19" s="94"/>
      <c r="N19" s="94"/>
      <c r="O19" s="94"/>
      <c r="P19" s="20"/>
      <c r="Q19" s="20"/>
    </row>
    <row r="20" spans="1:17" ht="15">
      <c r="A20" s="869" t="s">
        <v>4</v>
      </c>
      <c r="B20" s="870"/>
      <c r="C20" s="870"/>
      <c r="D20" s="400">
        <f>TRUNC(D17*D16*30.42/1000,2)</f>
        <v>232.42</v>
      </c>
      <c r="E20" s="399" t="s">
        <v>5</v>
      </c>
      <c r="F20" s="880" t="s">
        <v>388</v>
      </c>
      <c r="G20" s="881"/>
      <c r="H20" s="881"/>
      <c r="I20" s="881"/>
      <c r="J20" s="881"/>
      <c r="K20" s="882"/>
      <c r="L20" s="99"/>
      <c r="M20" s="94"/>
      <c r="N20" s="94"/>
      <c r="O20" s="94"/>
      <c r="P20" s="20"/>
      <c r="Q20" s="20"/>
    </row>
    <row r="21" spans="1:17" ht="15">
      <c r="A21" s="869" t="s">
        <v>6</v>
      </c>
      <c r="B21" s="870"/>
      <c r="C21" s="870"/>
      <c r="D21" s="400">
        <f>K11</f>
        <v>124.21</v>
      </c>
      <c r="E21" s="401" t="s">
        <v>7</v>
      </c>
      <c r="F21" s="883" t="s">
        <v>392</v>
      </c>
      <c r="G21" s="884"/>
      <c r="H21" s="884"/>
      <c r="I21" s="884"/>
      <c r="J21" s="884"/>
      <c r="K21" s="885"/>
      <c r="L21" s="99"/>
      <c r="M21" s="94"/>
      <c r="N21" s="94"/>
      <c r="O21" s="94"/>
      <c r="P21" s="20"/>
      <c r="Q21" s="20"/>
    </row>
    <row r="22" spans="1:17" ht="15">
      <c r="A22" s="869" t="s">
        <v>453</v>
      </c>
      <c r="B22" s="870"/>
      <c r="C22" s="870"/>
      <c r="D22" s="402">
        <v>3.6</v>
      </c>
      <c r="E22" s="403" t="s">
        <v>8</v>
      </c>
      <c r="F22" s="886" t="s">
        <v>394</v>
      </c>
      <c r="G22" s="887"/>
      <c r="H22" s="887"/>
      <c r="I22" s="887"/>
      <c r="J22" s="887"/>
      <c r="K22" s="888"/>
      <c r="L22" s="99"/>
      <c r="M22" s="94"/>
      <c r="N22" s="94"/>
      <c r="O22" s="94"/>
      <c r="P22" s="20"/>
      <c r="Q22" s="20"/>
    </row>
    <row r="23" spans="1:17" ht="15">
      <c r="A23" s="869" t="s">
        <v>454</v>
      </c>
      <c r="B23" s="870"/>
      <c r="C23" s="870"/>
      <c r="D23" s="402">
        <f>D22*2</f>
        <v>7.2</v>
      </c>
      <c r="E23" s="403" t="s">
        <v>391</v>
      </c>
      <c r="F23" s="886" t="s">
        <v>395</v>
      </c>
      <c r="G23" s="887"/>
      <c r="H23" s="887"/>
      <c r="I23" s="887"/>
      <c r="J23" s="887"/>
      <c r="K23" s="888"/>
      <c r="L23" s="92"/>
      <c r="M23" s="94"/>
      <c r="N23" s="94"/>
      <c r="O23" s="94"/>
      <c r="P23" s="20"/>
      <c r="Q23" s="20"/>
    </row>
    <row r="24" spans="1:17" ht="15">
      <c r="A24" s="869" t="s">
        <v>393</v>
      </c>
      <c r="B24" s="870"/>
      <c r="C24" s="870"/>
      <c r="D24" s="404">
        <f>K10</f>
        <v>3136.36</v>
      </c>
      <c r="E24" s="401" t="s">
        <v>9</v>
      </c>
      <c r="F24" s="883" t="s">
        <v>392</v>
      </c>
      <c r="G24" s="884"/>
      <c r="H24" s="884"/>
      <c r="I24" s="884"/>
      <c r="J24" s="884"/>
      <c r="K24" s="885"/>
      <c r="L24" s="99"/>
      <c r="M24" s="94"/>
      <c r="N24" s="94"/>
      <c r="O24" s="94"/>
      <c r="P24" s="20"/>
      <c r="Q24" s="20"/>
    </row>
    <row r="25" spans="1:17" ht="15">
      <c r="A25" s="869" t="s">
        <v>380</v>
      </c>
      <c r="B25" s="870"/>
      <c r="C25" s="870"/>
      <c r="D25" s="404">
        <v>14</v>
      </c>
      <c r="E25" s="401" t="s">
        <v>11</v>
      </c>
      <c r="F25" s="895" t="s">
        <v>16</v>
      </c>
      <c r="G25" s="896"/>
      <c r="H25" s="896"/>
      <c r="I25" s="896"/>
      <c r="J25" s="896"/>
      <c r="K25" s="897"/>
      <c r="L25" s="99"/>
      <c r="M25" s="94"/>
      <c r="N25" s="94"/>
      <c r="O25" s="94"/>
      <c r="P25" s="20"/>
      <c r="Q25" s="20"/>
    </row>
    <row r="26" spans="1:17" ht="27" customHeight="1">
      <c r="A26" s="869" t="s">
        <v>381</v>
      </c>
      <c r="B26" s="870"/>
      <c r="C26" s="870"/>
      <c r="D26" s="400">
        <v>0.23</v>
      </c>
      <c r="E26" s="401" t="s">
        <v>12</v>
      </c>
      <c r="F26" s="895" t="s">
        <v>385</v>
      </c>
      <c r="G26" s="896"/>
      <c r="H26" s="896"/>
      <c r="I26" s="896"/>
      <c r="J26" s="896"/>
      <c r="K26" s="897"/>
      <c r="L26" s="99"/>
      <c r="M26" s="94"/>
      <c r="N26" s="94"/>
      <c r="O26" s="94"/>
      <c r="P26" s="20"/>
      <c r="Q26" s="20"/>
    </row>
    <row r="27" spans="1:17" ht="15">
      <c r="A27" s="869" t="s">
        <v>396</v>
      </c>
      <c r="B27" s="870"/>
      <c r="C27" s="870"/>
      <c r="D27" s="405">
        <v>0.73</v>
      </c>
      <c r="E27" s="401" t="s">
        <v>280</v>
      </c>
      <c r="F27" s="883" t="s">
        <v>484</v>
      </c>
      <c r="G27" s="884"/>
      <c r="H27" s="884"/>
      <c r="I27" s="884"/>
      <c r="J27" s="884"/>
      <c r="K27" s="885"/>
      <c r="L27" s="99"/>
      <c r="M27" s="94"/>
      <c r="N27" s="94"/>
      <c r="O27" s="94"/>
      <c r="P27" s="20"/>
      <c r="Q27" s="20"/>
    </row>
    <row r="28" spans="1:17" ht="15">
      <c r="A28" s="869" t="s">
        <v>382</v>
      </c>
      <c r="B28" s="870"/>
      <c r="C28" s="870"/>
      <c r="D28" s="406">
        <v>1</v>
      </c>
      <c r="E28" s="401" t="s">
        <v>16</v>
      </c>
      <c r="F28" s="895" t="s">
        <v>455</v>
      </c>
      <c r="G28" s="884"/>
      <c r="H28" s="884"/>
      <c r="I28" s="884"/>
      <c r="J28" s="884"/>
      <c r="K28" s="885"/>
      <c r="L28" s="99"/>
      <c r="M28" s="94"/>
      <c r="N28" s="94"/>
      <c r="O28" s="94"/>
      <c r="P28" s="20"/>
      <c r="Q28" s="20"/>
    </row>
    <row r="29" spans="1:17" ht="15">
      <c r="A29" s="869" t="s">
        <v>399</v>
      </c>
      <c r="B29" s="870"/>
      <c r="C29" s="870"/>
      <c r="D29" s="400">
        <f>D25*D26*D27*D28</f>
        <v>2.3506</v>
      </c>
      <c r="E29" s="401" t="s">
        <v>13</v>
      </c>
      <c r="F29" s="883" t="s">
        <v>397</v>
      </c>
      <c r="G29" s="884"/>
      <c r="H29" s="884"/>
      <c r="I29" s="884"/>
      <c r="J29" s="884"/>
      <c r="K29" s="885"/>
      <c r="L29" s="99"/>
      <c r="M29" s="94"/>
      <c r="N29" s="94"/>
      <c r="O29" s="94"/>
      <c r="P29" s="20"/>
      <c r="Q29" s="20"/>
    </row>
    <row r="30" spans="1:17" ht="15">
      <c r="A30" s="869" t="s">
        <v>400</v>
      </c>
      <c r="B30" s="870"/>
      <c r="C30" s="870"/>
      <c r="D30" s="400">
        <f>D19/D29</f>
        <v>3.2502339828128988</v>
      </c>
      <c r="E30" s="401" t="s">
        <v>10</v>
      </c>
      <c r="F30" s="883" t="s">
        <v>447</v>
      </c>
      <c r="G30" s="884"/>
      <c r="H30" s="884"/>
      <c r="I30" s="884"/>
      <c r="J30" s="884"/>
      <c r="K30" s="885"/>
      <c r="L30" s="99"/>
      <c r="M30" s="94"/>
      <c r="N30" s="94"/>
      <c r="O30" s="94"/>
      <c r="P30" s="20"/>
      <c r="Q30" s="20"/>
    </row>
    <row r="31" spans="1:17" ht="15">
      <c r="A31" s="869" t="s">
        <v>401</v>
      </c>
      <c r="B31" s="870"/>
      <c r="C31" s="870"/>
      <c r="D31" s="400">
        <f>((D19/(D29*D30))*(7/G6))</f>
        <v>1.1666666666666667</v>
      </c>
      <c r="E31" s="401" t="s">
        <v>10</v>
      </c>
      <c r="F31" s="883" t="s">
        <v>448</v>
      </c>
      <c r="G31" s="884"/>
      <c r="H31" s="884"/>
      <c r="I31" s="884"/>
      <c r="J31" s="884"/>
      <c r="K31" s="885"/>
      <c r="L31" s="99"/>
      <c r="M31" s="94"/>
      <c r="N31" s="94"/>
      <c r="O31" s="94"/>
      <c r="P31" s="20"/>
      <c r="Q31" s="20"/>
    </row>
    <row r="32" spans="1:17" ht="15">
      <c r="A32" s="869" t="s">
        <v>14</v>
      </c>
      <c r="B32" s="870"/>
      <c r="C32" s="870"/>
      <c r="D32" s="402">
        <f>(D24/D35)</f>
        <v>1568.18</v>
      </c>
      <c r="E32" s="403" t="s">
        <v>9</v>
      </c>
      <c r="F32" s="886" t="s">
        <v>402</v>
      </c>
      <c r="G32" s="887"/>
      <c r="H32" s="887"/>
      <c r="I32" s="887"/>
      <c r="J32" s="887"/>
      <c r="K32" s="888"/>
      <c r="L32" s="92"/>
      <c r="M32" s="94"/>
      <c r="N32" s="94"/>
      <c r="O32" s="94"/>
      <c r="P32" s="20"/>
      <c r="Q32" s="20"/>
    </row>
    <row r="33" spans="1:15" ht="15" customHeight="1">
      <c r="A33" s="889"/>
      <c r="B33" s="890"/>
      <c r="C33" s="890"/>
      <c r="D33" s="890"/>
      <c r="E33" s="890"/>
      <c r="F33" s="890"/>
      <c r="G33" s="890"/>
      <c r="H33" s="890"/>
      <c r="I33" s="890"/>
      <c r="J33" s="890"/>
      <c r="K33" s="891"/>
      <c r="L33" s="92"/>
      <c r="M33" s="92"/>
      <c r="N33" s="92"/>
      <c r="O33" s="92"/>
    </row>
    <row r="34" spans="1:15" ht="15" customHeight="1">
      <c r="A34" s="892" t="s">
        <v>507</v>
      </c>
      <c r="B34" s="893"/>
      <c r="C34" s="893"/>
      <c r="D34" s="893"/>
      <c r="E34" s="893"/>
      <c r="F34" s="893"/>
      <c r="G34" s="893"/>
      <c r="H34" s="893"/>
      <c r="I34" s="893"/>
      <c r="J34" s="893"/>
      <c r="K34" s="894"/>
      <c r="L34" s="92"/>
      <c r="M34" s="92"/>
      <c r="N34" s="92"/>
      <c r="O34" s="92"/>
    </row>
    <row r="35" spans="1:15" ht="15" customHeight="1">
      <c r="A35" s="869" t="s">
        <v>361</v>
      </c>
      <c r="B35" s="870"/>
      <c r="C35" s="870"/>
      <c r="D35" s="407">
        <f>ROUNDUP(D31,0)</f>
        <v>2</v>
      </c>
      <c r="E35" s="401" t="s">
        <v>10</v>
      </c>
      <c r="F35" s="886" t="s">
        <v>457</v>
      </c>
      <c r="G35" s="887"/>
      <c r="H35" s="887"/>
      <c r="I35" s="887"/>
      <c r="J35" s="887"/>
      <c r="K35" s="888"/>
      <c r="L35" s="92"/>
      <c r="M35" s="92"/>
      <c r="N35" s="92"/>
      <c r="O35" s="92"/>
    </row>
    <row r="36" spans="1:15" ht="15" customHeight="1">
      <c r="A36" s="869" t="s">
        <v>362</v>
      </c>
      <c r="B36" s="870"/>
      <c r="C36" s="870"/>
      <c r="D36" s="407">
        <f>ROUNDUP(0.1*D31,0)</f>
        <v>1</v>
      </c>
      <c r="E36" s="401" t="s">
        <v>10</v>
      </c>
      <c r="F36" s="886" t="s">
        <v>458</v>
      </c>
      <c r="G36" s="887"/>
      <c r="H36" s="887"/>
      <c r="I36" s="887"/>
      <c r="J36" s="887"/>
      <c r="K36" s="888"/>
      <c r="L36" s="92"/>
      <c r="M36" s="92"/>
      <c r="N36" s="92"/>
      <c r="O36" s="92"/>
    </row>
    <row r="37" spans="1:15" ht="15" customHeight="1">
      <c r="A37" s="869" t="s">
        <v>363</v>
      </c>
      <c r="B37" s="870"/>
      <c r="C37" s="870"/>
      <c r="D37" s="407">
        <f>ROUND(3*D35,0)</f>
        <v>6</v>
      </c>
      <c r="E37" s="401" t="s">
        <v>10</v>
      </c>
      <c r="F37" s="886" t="s">
        <v>442</v>
      </c>
      <c r="G37" s="887"/>
      <c r="H37" s="887"/>
      <c r="I37" s="887"/>
      <c r="J37" s="887"/>
      <c r="K37" s="888"/>
      <c r="L37" s="92"/>
      <c r="M37" s="92"/>
      <c r="N37" s="92"/>
      <c r="O37" s="92"/>
    </row>
    <row r="38" spans="1:15" ht="15" customHeight="1">
      <c r="A38" s="869" t="s">
        <v>443</v>
      </c>
      <c r="B38" s="870"/>
      <c r="C38" s="870"/>
      <c r="D38" s="407">
        <f>D35</f>
        <v>2</v>
      </c>
      <c r="E38" s="401" t="s">
        <v>10</v>
      </c>
      <c r="F38" s="886" t="s">
        <v>445</v>
      </c>
      <c r="G38" s="887"/>
      <c r="H38" s="887"/>
      <c r="I38" s="887"/>
      <c r="J38" s="887"/>
      <c r="K38" s="888"/>
      <c r="L38" s="92"/>
      <c r="M38" s="92"/>
      <c r="N38" s="92"/>
      <c r="O38" s="92"/>
    </row>
    <row r="39" spans="1:15" ht="15" customHeight="1">
      <c r="A39" s="869" t="s">
        <v>364</v>
      </c>
      <c r="B39" s="870"/>
      <c r="C39" s="870"/>
      <c r="D39" s="407">
        <f>D35</f>
        <v>2</v>
      </c>
      <c r="E39" s="401" t="s">
        <v>10</v>
      </c>
      <c r="F39" s="886" t="s">
        <v>441</v>
      </c>
      <c r="G39" s="887"/>
      <c r="H39" s="887"/>
      <c r="I39" s="887"/>
      <c r="J39" s="887"/>
      <c r="K39" s="888"/>
      <c r="L39" s="92"/>
      <c r="M39" s="92"/>
      <c r="N39" s="92"/>
      <c r="O39" s="92"/>
    </row>
    <row r="40" spans="1:15" ht="13.5" thickBot="1">
      <c r="A40" s="913" t="s">
        <v>444</v>
      </c>
      <c r="B40" s="914"/>
      <c r="C40" s="914"/>
      <c r="D40" s="408">
        <f>ROUNDUP(0.1*D35,0)</f>
        <v>1</v>
      </c>
      <c r="E40" s="409" t="s">
        <v>10</v>
      </c>
      <c r="F40" s="910" t="s">
        <v>446</v>
      </c>
      <c r="G40" s="911"/>
      <c r="H40" s="911"/>
      <c r="I40" s="911"/>
      <c r="J40" s="911"/>
      <c r="K40" s="912"/>
      <c r="L40" s="92"/>
      <c r="M40" s="92"/>
      <c r="N40" s="92"/>
      <c r="O40" s="92"/>
    </row>
    <row r="41" spans="1:15" ht="15.75" thickBot="1">
      <c r="A41" s="410"/>
      <c r="B41" s="410"/>
      <c r="C41" s="410"/>
      <c r="D41" s="411"/>
      <c r="E41" s="411"/>
      <c r="F41" s="361"/>
      <c r="G41" s="361"/>
      <c r="H41" s="361"/>
      <c r="I41" s="412"/>
      <c r="J41" s="412"/>
      <c r="K41" s="413"/>
      <c r="L41" s="92"/>
      <c r="M41" s="92"/>
      <c r="N41" s="92"/>
      <c r="O41" s="92"/>
    </row>
    <row r="42" spans="1:15" ht="15.75" thickBot="1">
      <c r="A42" s="414" t="s">
        <v>185</v>
      </c>
      <c r="B42" s="415" t="s">
        <v>98</v>
      </c>
      <c r="C42" s="415" t="s">
        <v>111</v>
      </c>
      <c r="D42" s="837" t="s">
        <v>459</v>
      </c>
      <c r="E42" s="838"/>
      <c r="F42" s="838"/>
      <c r="G42" s="839"/>
      <c r="H42" s="416" t="s">
        <v>182</v>
      </c>
      <c r="I42" s="417" t="s">
        <v>183</v>
      </c>
      <c r="J42" s="418" t="s">
        <v>184</v>
      </c>
      <c r="K42" s="413"/>
      <c r="L42" s="92"/>
      <c r="M42" s="92"/>
      <c r="N42" s="92"/>
      <c r="O42" s="92"/>
    </row>
    <row r="43" spans="1:15" ht="15">
      <c r="A43" s="861">
        <v>1</v>
      </c>
      <c r="B43" s="857" t="s">
        <v>429</v>
      </c>
      <c r="C43" s="419" t="s">
        <v>95</v>
      </c>
      <c r="D43" s="425">
        <f>130.8979+156.8047+181.9688+118.7074+62.6278+128.1886+96.2402+286.7861+185.1693+475.2377+299.2156+214.9548+77.3281+107.2956+741.4547+64.5103+101.4194+69.9667+112.6485+172.0542+216.0644+75.8843+103.9129+169.4695+96.46+160.603+135.5735+75.545+172.5407+585.8802+168.7008+575.6241+172.3401+576.1409+269.5134+74.3587+108.8058+163.9889+69.8671+73.1899+78.6175+310.2336+263.0132+81.0536+95.3593+166.8063+197.5196+136.5955+184.0408+61.1186+71.943+81.0981+88.9014+46.597+29.6431+91.9414+328.8876+63.3276+62.0552+156.5086+161.8437+58.2944+150.1663+166.751+125.043+67.8613+65.1902+45.6736+7.3893+7.6576+8.8547+8.7611+8.5278+101.3365+224.7243+187.8754+134.5114+170.2488+126.3818</f>
        <v>12250.292799999999</v>
      </c>
      <c r="E43" s="425"/>
      <c r="F43" s="425"/>
      <c r="G43" s="425"/>
      <c r="H43" s="420">
        <f t="shared" ref="H43:H46" si="0">D43</f>
        <v>12250.292799999999</v>
      </c>
      <c r="I43" s="421">
        <f t="shared" ref="I43:I59" si="1">TRUNC(H43/1000,2)</f>
        <v>12.25</v>
      </c>
      <c r="J43" s="856">
        <f>I43+I44</f>
        <v>17.809999999999999</v>
      </c>
      <c r="K43" s="413"/>
      <c r="L43" s="92"/>
      <c r="M43" s="92"/>
      <c r="N43" s="92"/>
      <c r="O43" s="92"/>
    </row>
    <row r="44" spans="1:15" ht="15.75" thickBot="1">
      <c r="A44" s="862"/>
      <c r="B44" s="863"/>
      <c r="C44" s="422" t="s">
        <v>180</v>
      </c>
      <c r="D44" s="423">
        <f>44.8162+79.279+273.6544+49.0195+183.4442+221.6214+336.108+502.4735+358.2498+336.2019+253.9935+164.3858+64.7015+175.2974+111.085+120.6678+113.5131+84.319+103.4114+307.4261+142.513+214.814+144.2262+70.0818+223.1377+71.3678+145.7954+270.398+180.351+101.0881+75.3395+40.5423</f>
        <v>5563.3233000000009</v>
      </c>
      <c r="E44" s="423"/>
      <c r="F44" s="423"/>
      <c r="G44" s="423"/>
      <c r="H44" s="424">
        <f>D44</f>
        <v>5563.3233000000009</v>
      </c>
      <c r="I44" s="421">
        <f>TRUNC(H44/1000,2)</f>
        <v>5.56</v>
      </c>
      <c r="J44" s="855"/>
      <c r="K44" s="413"/>
      <c r="L44" s="92"/>
      <c r="M44" s="92"/>
      <c r="N44" s="92"/>
      <c r="O44" s="92"/>
    </row>
    <row r="45" spans="1:15" ht="15">
      <c r="A45" s="840">
        <v>2</v>
      </c>
      <c r="B45" s="843" t="s">
        <v>430</v>
      </c>
      <c r="C45" s="425" t="s">
        <v>173</v>
      </c>
      <c r="D45" s="425">
        <f>203.26+185.209+478.4004+157.6233+145.6237+43.5687+52.6469+538.9646+83.4893+31.6482+518.4454+95.9966+102.1418+199.9533+454.002+100.6022+72.7595+172.6523+176.1913+244.278+101.7425+103.2283</f>
        <v>4262.4272999999994</v>
      </c>
      <c r="E45" s="425"/>
      <c r="F45" s="425"/>
      <c r="G45" s="425"/>
      <c r="H45" s="426">
        <f t="shared" si="0"/>
        <v>4262.4272999999994</v>
      </c>
      <c r="I45" s="427">
        <f t="shared" si="1"/>
        <v>4.26</v>
      </c>
      <c r="J45" s="846">
        <f>SUM(I45:I50)</f>
        <v>17.690000000000001</v>
      </c>
      <c r="K45" s="413"/>
      <c r="L45" s="92"/>
      <c r="M45" s="92"/>
      <c r="N45" s="92"/>
      <c r="O45" s="92"/>
    </row>
    <row r="46" spans="1:15" ht="15">
      <c r="A46" s="841"/>
      <c r="B46" s="844"/>
      <c r="C46" s="428" t="s">
        <v>174</v>
      </c>
      <c r="D46" s="428">
        <f>305.3052+133.5547+103.3466+213.6896+133.9567+132.8229+130.5267+413.4235+405.3739+56.6773+12.2804+11.447+251.2907+218.586+241.6401+127.142+119.7505+9.9138+244.7989+352.5707+165.9281+527.867+16.7318+118.7711+147.5209</f>
        <v>4594.9161000000004</v>
      </c>
      <c r="E46" s="428"/>
      <c r="F46" s="428"/>
      <c r="G46" s="428"/>
      <c r="H46" s="429">
        <f t="shared" si="0"/>
        <v>4594.9161000000004</v>
      </c>
      <c r="I46" s="430">
        <f t="shared" si="1"/>
        <v>4.59</v>
      </c>
      <c r="J46" s="847"/>
      <c r="K46" s="413"/>
      <c r="L46" s="92"/>
      <c r="M46" s="92"/>
      <c r="N46" s="92"/>
      <c r="O46" s="92"/>
    </row>
    <row r="47" spans="1:15" ht="15">
      <c r="A47" s="841"/>
      <c r="B47" s="844"/>
      <c r="C47" s="428" t="s">
        <v>171</v>
      </c>
      <c r="D47" s="428">
        <f>259.0621+329.0795+392.971+356.241+149.0688+75.0821</f>
        <v>1561.5045</v>
      </c>
      <c r="E47" s="428"/>
      <c r="F47" s="428"/>
      <c r="G47" s="428"/>
      <c r="H47" s="429">
        <f>D47</f>
        <v>1561.5045</v>
      </c>
      <c r="I47" s="430">
        <f>TRUNC(H47/1000,2)</f>
        <v>1.56</v>
      </c>
      <c r="J47" s="847"/>
      <c r="K47" s="413"/>
      <c r="L47" s="92"/>
      <c r="M47" s="92"/>
      <c r="N47" s="92"/>
      <c r="O47" s="92"/>
    </row>
    <row r="48" spans="1:15" ht="15">
      <c r="A48" s="841"/>
      <c r="B48" s="844"/>
      <c r="C48" s="428" t="s">
        <v>172</v>
      </c>
      <c r="D48" s="428">
        <f>36.2914+83.4593+140.2647+45.9463+182.9054+91.6766+32.3744+30.9715+184.0389+96.9531+38.0962+183.375+168.6712+50.4776+184.7072+140.5791+41.8862+184.4974+141.1358+208.7905+94.6863+223.258+75.7554</f>
        <v>2660.7974999999992</v>
      </c>
      <c r="E48" s="428"/>
      <c r="F48" s="428"/>
      <c r="G48" s="428"/>
      <c r="H48" s="429">
        <f>D48</f>
        <v>2660.7974999999992</v>
      </c>
      <c r="I48" s="430">
        <f>TRUNC(H48/1000,2)</f>
        <v>2.66</v>
      </c>
      <c r="J48" s="847"/>
      <c r="K48" s="413"/>
      <c r="L48" s="92"/>
      <c r="M48" s="92"/>
      <c r="N48" s="92"/>
      <c r="O48" s="92"/>
    </row>
    <row r="49" spans="1:15" ht="15">
      <c r="A49" s="841"/>
      <c r="B49" s="844"/>
      <c r="C49" s="428" t="s">
        <v>169</v>
      </c>
      <c r="D49" s="428"/>
      <c r="E49" s="428"/>
      <c r="F49" s="428">
        <f>320.5997+48.6962+203.0673+96.3431+49.7415+112.0214+214.1216+113.2045+218.1625+11.0398+266.0755+265.1335+84.6777+298.7429</f>
        <v>2301.6271999999999</v>
      </c>
      <c r="G49" s="428"/>
      <c r="H49" s="431">
        <f>SUM(D49:G49)</f>
        <v>2301.6271999999999</v>
      </c>
      <c r="I49" s="430">
        <f>TRUNC(H49/1000,2)</f>
        <v>2.2999999999999998</v>
      </c>
      <c r="J49" s="848"/>
      <c r="K49" s="413"/>
      <c r="L49" s="92"/>
      <c r="M49" s="92"/>
      <c r="N49" s="92"/>
      <c r="O49" s="92"/>
    </row>
    <row r="50" spans="1:15" ht="15.75" thickBot="1">
      <c r="A50" s="842"/>
      <c r="B50" s="845"/>
      <c r="C50" s="432" t="s">
        <v>170</v>
      </c>
      <c r="D50" s="432">
        <f>455.0872+389.105+378.2697+339.8981+50.4488+288.4367+104.9578+138.5117+139.2091+44.9835</f>
        <v>2328.9075999999995</v>
      </c>
      <c r="E50" s="432"/>
      <c r="F50" s="432"/>
      <c r="G50" s="432"/>
      <c r="H50" s="433">
        <f>D50</f>
        <v>2328.9075999999995</v>
      </c>
      <c r="I50" s="434">
        <f>TRUNC(H50/1000,2)</f>
        <v>2.3199999999999998</v>
      </c>
      <c r="J50" s="849"/>
      <c r="K50" s="413"/>
      <c r="L50" s="92"/>
      <c r="M50" s="92"/>
      <c r="N50" s="92"/>
      <c r="O50" s="92"/>
    </row>
    <row r="51" spans="1:15" ht="15">
      <c r="A51" s="850">
        <v>3</v>
      </c>
      <c r="B51" s="853" t="s">
        <v>431</v>
      </c>
      <c r="C51" s="435" t="s">
        <v>177</v>
      </c>
      <c r="D51" s="436">
        <f>612.5776+270.4986+334.7204+141.754</f>
        <v>1359.5505999999998</v>
      </c>
      <c r="E51" s="436"/>
      <c r="F51" s="436"/>
      <c r="G51" s="436"/>
      <c r="H51" s="437">
        <f t="shared" ref="H51:H55" si="2">D51</f>
        <v>1359.5505999999998</v>
      </c>
      <c r="I51" s="438">
        <f t="shared" si="1"/>
        <v>1.35</v>
      </c>
      <c r="J51" s="854">
        <f>TRUNC(SUM(I51:I55))</f>
        <v>26</v>
      </c>
      <c r="K51" s="413"/>
      <c r="L51" s="92"/>
      <c r="M51" s="92"/>
      <c r="N51" s="92"/>
      <c r="O51" s="92"/>
    </row>
    <row r="52" spans="1:15" ht="15">
      <c r="A52" s="851"/>
      <c r="B52" s="844"/>
      <c r="C52" s="439" t="s">
        <v>178</v>
      </c>
      <c r="D52" s="428">
        <f>94.5204+60.9035+461.2011+471.0691+174.0591+326.9863+347.4798+184.599+175.4605+22.7354+336.8476+342.5379+137.7537+135.982+241.8265+122.2229+109.507+100.4481+104.9287+106.9242+55.1157</f>
        <v>4113.1085000000003</v>
      </c>
      <c r="E52" s="428"/>
      <c r="F52" s="428"/>
      <c r="G52" s="428"/>
      <c r="H52" s="429">
        <f t="shared" si="2"/>
        <v>4113.1085000000003</v>
      </c>
      <c r="I52" s="430">
        <f t="shared" si="1"/>
        <v>4.1100000000000003</v>
      </c>
      <c r="J52" s="854"/>
      <c r="K52" s="413"/>
      <c r="L52" s="92"/>
      <c r="M52" s="92"/>
      <c r="N52" s="92"/>
      <c r="O52" s="92"/>
    </row>
    <row r="53" spans="1:15" ht="15">
      <c r="A53" s="851"/>
      <c r="B53" s="844"/>
      <c r="C53" s="439" t="s">
        <v>179</v>
      </c>
      <c r="D53" s="428">
        <f>501.885+88.4959+260.9955+219.4054+114.0544+255.3769+224.6877+122.8003+109.0189+255.4599+224.6777+40.7863+130.8203+221.7884+337.1717+128.2747+223.0352+336.6942+200.4188+96.2463+338.1616+202.1696+254.0267+156.659+291.117+212.8641+119.1472+177.3736+95.0884+112.2203+116.9594+357.2636+125.0132+263.3309+141.5984+141.5084+311.1542+205.3365+408.8065+41.0231+134.9508+134.5985+53.4894+70.5026+161.7534+147.133+94.1016+78.5115+79.6321+6.7956+197.8285+31.5965+154.4007+107.4257+69.065</f>
        <v>9684.7001</v>
      </c>
      <c r="E53" s="428"/>
      <c r="F53" s="428"/>
      <c r="G53" s="428"/>
      <c r="H53" s="429">
        <f t="shared" si="2"/>
        <v>9684.7001</v>
      </c>
      <c r="I53" s="430">
        <f t="shared" si="1"/>
        <v>9.68</v>
      </c>
      <c r="J53" s="854"/>
      <c r="K53" s="413"/>
      <c r="L53" s="92"/>
      <c r="M53" s="92"/>
      <c r="N53" s="92"/>
      <c r="O53" s="92"/>
    </row>
    <row r="54" spans="1:15" ht="15">
      <c r="A54" s="851"/>
      <c r="B54" s="844"/>
      <c r="C54" s="428" t="s">
        <v>175</v>
      </c>
      <c r="D54" s="428">
        <f>414.9279+44.9975+58.802+382.0382+74.0898+322.0301+243.7585+202.6599+165.6352+368.4492+522.7122+10.6862+10.4925+10.6225+10.428+7.6736+17.0827+4.5512+84.6367+133.9793+67.3781+76.061+114.3354+107.4127+95.2955+87.8086</f>
        <v>3638.5444999999991</v>
      </c>
      <c r="E54" s="428"/>
      <c r="F54" s="428"/>
      <c r="G54" s="428"/>
      <c r="H54" s="429">
        <f>D54</f>
        <v>3638.5444999999991</v>
      </c>
      <c r="I54" s="430">
        <f>TRUNC(H54/1000,2)</f>
        <v>3.63</v>
      </c>
      <c r="J54" s="854"/>
      <c r="K54" s="413"/>
      <c r="L54" s="92"/>
      <c r="M54" s="92"/>
      <c r="N54" s="92"/>
      <c r="O54" s="92"/>
    </row>
    <row r="55" spans="1:15" ht="15.75" thickBot="1">
      <c r="A55" s="852"/>
      <c r="B55" s="845"/>
      <c r="C55" s="440" t="s">
        <v>181</v>
      </c>
      <c r="D55" s="432">
        <f>59.1677+92.3391+52.7474+201.5593+357.0087+360.1766+137.9404+360.4225+137.2651+358.3755+162.1581+337.4655+333.4213+333.0745+150.1663+218.101+197.4427+334.5028+76.4881+182.0824+322.5935+171.5535+135.6221+179.0829+178.1708+177.1434+178.0413+40.2895+39.6325+170.1539+79.9708+171.015+161.333+177.7965+162.5106+221.8199+191.8636+169.4067+89.3101+150.9854+10.7093</f>
        <v>7620.9092999999984</v>
      </c>
      <c r="E55" s="432"/>
      <c r="F55" s="432"/>
      <c r="G55" s="432"/>
      <c r="H55" s="441">
        <f t="shared" si="2"/>
        <v>7620.9092999999984</v>
      </c>
      <c r="I55" s="434">
        <f t="shared" si="1"/>
        <v>7.62</v>
      </c>
      <c r="J55" s="855"/>
      <c r="K55" s="413"/>
      <c r="L55" s="92"/>
      <c r="M55" s="92"/>
      <c r="N55" s="92"/>
      <c r="O55" s="92"/>
    </row>
    <row r="56" spans="1:15" ht="15">
      <c r="A56" s="859">
        <v>4</v>
      </c>
      <c r="B56" s="857" t="s">
        <v>432</v>
      </c>
      <c r="C56" s="442" t="s">
        <v>164</v>
      </c>
      <c r="D56" s="425">
        <f>332.3272+342.8063+119.5963+190.3289+229.2103+306.7028</f>
        <v>1520.9718</v>
      </c>
      <c r="E56" s="425"/>
      <c r="F56" s="425">
        <f>727.1939+513.4656+570+1283+625.974+76.7835+114.7552+252.4089+177.7552+237.9402+166.7793+112.7256</f>
        <v>4858.7813999999998</v>
      </c>
      <c r="G56" s="425">
        <f>167.3542+568.9468+51.5441+92.7926</f>
        <v>880.6377</v>
      </c>
      <c r="H56" s="443">
        <f>SUM(D56:G56)</f>
        <v>7260.3909000000003</v>
      </c>
      <c r="I56" s="427">
        <f t="shared" si="1"/>
        <v>7.26</v>
      </c>
      <c r="J56" s="856">
        <f>TRUNC(SUM(I56:I61))</f>
        <v>23</v>
      </c>
      <c r="K56" s="413"/>
      <c r="L56" s="92"/>
      <c r="M56" s="92"/>
      <c r="N56" s="92"/>
      <c r="O56" s="92"/>
    </row>
    <row r="57" spans="1:15" ht="15">
      <c r="A57" s="860"/>
      <c r="B57" s="858"/>
      <c r="C57" s="439" t="s">
        <v>165</v>
      </c>
      <c r="D57" s="428">
        <f>130.6273+363.0476+316.1426+272.1996+161.1169+75.5384+53.7837+148.8514+183.6734</f>
        <v>1704.9808999999998</v>
      </c>
      <c r="E57" s="428"/>
      <c r="F57" s="428"/>
      <c r="G57" s="428"/>
      <c r="H57" s="431">
        <f>D57</f>
        <v>1704.9808999999998</v>
      </c>
      <c r="I57" s="430">
        <f t="shared" si="1"/>
        <v>1.7</v>
      </c>
      <c r="J57" s="854"/>
      <c r="K57" s="413"/>
      <c r="L57" s="92"/>
      <c r="M57" s="92"/>
      <c r="N57" s="92"/>
      <c r="O57" s="92"/>
    </row>
    <row r="58" spans="1:15" ht="15">
      <c r="A58" s="860"/>
      <c r="B58" s="858"/>
      <c r="C58" s="439" t="s">
        <v>166</v>
      </c>
      <c r="D58" s="428">
        <f>204.2249+69.8036+447.4658+159.663+133.0838+121.9888+134.4781+137.8104</f>
        <v>1408.5184000000002</v>
      </c>
      <c r="E58" s="428"/>
      <c r="F58" s="428"/>
      <c r="G58" s="428"/>
      <c r="H58" s="431">
        <f>D58</f>
        <v>1408.5184000000002</v>
      </c>
      <c r="I58" s="430">
        <f t="shared" si="1"/>
        <v>1.4</v>
      </c>
      <c r="J58" s="854"/>
      <c r="K58" s="413"/>
      <c r="L58" s="92"/>
      <c r="M58" s="92"/>
      <c r="N58" s="92"/>
      <c r="O58" s="92"/>
    </row>
    <row r="59" spans="1:15" ht="15">
      <c r="A59" s="860"/>
      <c r="B59" s="858"/>
      <c r="C59" s="439" t="s">
        <v>167</v>
      </c>
      <c r="D59" s="428">
        <f>717.6619+708.2451+699.1984+686.608+135.1164+176.6109+161.5228+539.6637+460.1471+496.2322+434.8202+681.5899+226.6302+204.4041+42.791+199.0089+186.477+89.4783+184.9601+123.0793+83.0006+61.1681+126.2715+90.41+188.2317+166.6508+417.4579+144.3444+91.929+182.1576+157.9288+95.8488+264.2265</f>
        <v>9223.8712000000014</v>
      </c>
      <c r="E59" s="428"/>
      <c r="F59" s="428"/>
      <c r="G59" s="428"/>
      <c r="H59" s="431">
        <f>D59</f>
        <v>9223.8712000000014</v>
      </c>
      <c r="I59" s="430">
        <f t="shared" si="1"/>
        <v>9.2200000000000006</v>
      </c>
      <c r="J59" s="854"/>
      <c r="K59" s="413"/>
      <c r="L59" s="92"/>
      <c r="M59" s="92"/>
      <c r="N59" s="92"/>
      <c r="O59" s="92"/>
    </row>
    <row r="60" spans="1:15" ht="15">
      <c r="A60" s="860"/>
      <c r="B60" s="858"/>
      <c r="C60" s="428" t="s">
        <v>176</v>
      </c>
      <c r="D60" s="428">
        <f>216.3011+79.698+136.2946+107.7189+128.7628+113.5603+33.889+6.1439+186.7074+295.0995</f>
        <v>1304.1755000000001</v>
      </c>
      <c r="E60" s="428"/>
      <c r="F60" s="428"/>
      <c r="G60" s="428"/>
      <c r="H60" s="429">
        <f>D60</f>
        <v>1304.1755000000001</v>
      </c>
      <c r="I60" s="430">
        <f>TRUNC(H60/1000,2)</f>
        <v>1.3</v>
      </c>
      <c r="J60" s="854"/>
      <c r="K60" s="413"/>
      <c r="L60" s="92"/>
      <c r="M60" s="92"/>
      <c r="N60" s="92"/>
      <c r="O60" s="92"/>
    </row>
    <row r="61" spans="1:15" ht="15.75" thickBot="1">
      <c r="A61" s="860"/>
      <c r="B61" s="858"/>
      <c r="C61" s="423" t="s">
        <v>168</v>
      </c>
      <c r="D61" s="423">
        <f>824.0838+109.2418+502.7018+44.6957+298.288+470.5005+355.7391+198.6256+49.9164+43.8659+66.6826+7.9202</f>
        <v>2972.2613999999994</v>
      </c>
      <c r="E61" s="423"/>
      <c r="F61" s="423"/>
      <c r="G61" s="423"/>
      <c r="H61" s="444">
        <f>SUM(D61:G61)</f>
        <v>2972.2613999999994</v>
      </c>
      <c r="I61" s="445">
        <f>TRUNC(H61/1000,2)</f>
        <v>2.97</v>
      </c>
      <c r="J61" s="854"/>
      <c r="K61" s="413"/>
      <c r="L61" s="92"/>
      <c r="M61" s="92"/>
      <c r="N61" s="92"/>
      <c r="O61" s="92"/>
    </row>
    <row r="62" spans="1:15" ht="15.75" thickBot="1">
      <c r="A62" s="834" t="s">
        <v>131</v>
      </c>
      <c r="B62" s="835"/>
      <c r="C62" s="835"/>
      <c r="D62" s="835"/>
      <c r="E62" s="835"/>
      <c r="F62" s="835"/>
      <c r="G62" s="835"/>
      <c r="H62" s="835"/>
      <c r="I62" s="836"/>
      <c r="J62" s="448">
        <f>SUM(J43,J45,J51,J56)</f>
        <v>84.5</v>
      </c>
      <c r="K62" s="413"/>
      <c r="L62" s="92"/>
      <c r="M62" s="92"/>
      <c r="N62" s="92"/>
      <c r="O62" s="92"/>
    </row>
    <row r="63" spans="1:15" ht="15">
      <c r="A63" s="410"/>
      <c r="B63" s="410"/>
      <c r="C63" s="410"/>
      <c r="D63" s="411"/>
      <c r="E63" s="411"/>
      <c r="F63" s="361"/>
      <c r="G63" s="361"/>
      <c r="H63" s="361"/>
      <c r="I63" s="412"/>
      <c r="J63" s="412"/>
      <c r="K63" s="413"/>
      <c r="L63" s="92"/>
      <c r="M63" s="92"/>
      <c r="N63" s="92"/>
      <c r="O63" s="92"/>
    </row>
    <row r="64" spans="1:15" ht="15">
      <c r="A64" s="180"/>
      <c r="B64" s="181"/>
      <c r="C64" s="181"/>
      <c r="D64" s="90"/>
      <c r="E64" s="90"/>
      <c r="F64" s="90"/>
      <c r="G64" s="90"/>
      <c r="H64" s="90"/>
      <c r="I64" s="97"/>
      <c r="J64" s="97"/>
      <c r="K64" s="92"/>
      <c r="L64" s="92"/>
      <c r="M64" s="92"/>
      <c r="N64" s="92"/>
      <c r="O64" s="92"/>
    </row>
    <row r="65" spans="1:15" ht="15">
      <c r="A65" s="90"/>
      <c r="B65" s="100"/>
      <c r="C65" s="100"/>
      <c r="D65" s="90"/>
      <c r="E65" s="90"/>
      <c r="F65" s="90"/>
      <c r="G65" s="90"/>
      <c r="H65" s="90"/>
      <c r="I65" s="97"/>
      <c r="J65" s="97"/>
      <c r="K65" s="92"/>
      <c r="L65" s="92"/>
      <c r="M65" s="92"/>
      <c r="N65" s="92"/>
      <c r="O65" s="92"/>
    </row>
    <row r="66" spans="1:15" ht="15">
      <c r="A66" s="90"/>
      <c r="B66" s="100"/>
      <c r="C66" s="100"/>
      <c r="D66" s="90"/>
      <c r="E66" s="90"/>
      <c r="F66" s="90"/>
      <c r="G66" s="90"/>
      <c r="H66" s="90"/>
      <c r="I66" s="97"/>
      <c r="J66" s="97"/>
      <c r="K66" s="92"/>
      <c r="L66" s="92"/>
      <c r="M66" s="92"/>
      <c r="N66" s="92"/>
      <c r="O66" s="92"/>
    </row>
    <row r="67" spans="1:15" ht="15">
      <c r="A67" s="90"/>
      <c r="B67" s="100"/>
      <c r="C67" s="100"/>
      <c r="D67" s="90"/>
      <c r="E67" s="90"/>
      <c r="F67" s="90"/>
      <c r="G67" s="90"/>
      <c r="H67" s="90"/>
      <c r="I67" s="97"/>
      <c r="J67" s="97"/>
      <c r="K67" s="92"/>
      <c r="L67" s="92"/>
      <c r="M67" s="92"/>
      <c r="N67" s="92"/>
      <c r="O67" s="92"/>
    </row>
    <row r="68" spans="1:15" ht="15">
      <c r="A68" s="90"/>
      <c r="B68" s="100"/>
      <c r="C68" s="100"/>
      <c r="D68" s="90"/>
      <c r="E68" s="90"/>
      <c r="F68" s="90"/>
      <c r="G68" s="90"/>
      <c r="H68" s="90"/>
      <c r="I68" s="97"/>
      <c r="J68" s="97"/>
      <c r="K68" s="92"/>
      <c r="L68" s="92"/>
      <c r="M68" s="92"/>
      <c r="N68" s="92"/>
      <c r="O68" s="92"/>
    </row>
    <row r="69" spans="1:15" ht="15">
      <c r="A69" s="90"/>
      <c r="B69" s="100"/>
      <c r="C69" s="100"/>
      <c r="D69" s="90"/>
      <c r="E69" s="90"/>
      <c r="F69" s="90"/>
      <c r="G69" s="90"/>
      <c r="H69" s="90"/>
      <c r="I69" s="97"/>
      <c r="J69" s="97"/>
      <c r="K69" s="92"/>
      <c r="L69" s="92"/>
      <c r="M69" s="92"/>
      <c r="N69" s="92"/>
      <c r="O69" s="92"/>
    </row>
    <row r="70" spans="1:15" ht="15">
      <c r="A70" s="90"/>
      <c r="B70" s="100"/>
      <c r="C70" s="100"/>
      <c r="D70" s="90"/>
      <c r="E70" s="90"/>
      <c r="F70" s="90"/>
      <c r="G70" s="90"/>
      <c r="H70" s="90"/>
      <c r="I70" s="97"/>
      <c r="J70" s="97"/>
      <c r="K70" s="92"/>
      <c r="L70" s="92"/>
      <c r="M70" s="92"/>
      <c r="N70" s="92"/>
      <c r="O70" s="92"/>
    </row>
    <row r="71" spans="1:15" ht="15">
      <c r="A71" s="90"/>
      <c r="B71" s="100"/>
      <c r="C71" s="100"/>
      <c r="D71" s="90"/>
      <c r="E71" s="90"/>
      <c r="F71" s="90"/>
      <c r="G71" s="90"/>
      <c r="H71" s="90"/>
      <c r="I71" s="97"/>
      <c r="J71" s="97"/>
      <c r="K71" s="92"/>
      <c r="L71" s="92"/>
      <c r="M71" s="92"/>
      <c r="N71" s="92"/>
      <c r="O71" s="92"/>
    </row>
    <row r="72" spans="1:15" ht="15">
      <c r="A72" s="90"/>
      <c r="B72" s="100"/>
      <c r="C72" s="100"/>
      <c r="D72" s="90"/>
      <c r="E72" s="90"/>
      <c r="F72" s="90"/>
      <c r="G72" s="90"/>
      <c r="H72" s="90"/>
      <c r="I72" s="97"/>
      <c r="J72" s="97"/>
      <c r="K72" s="92"/>
      <c r="L72" s="92"/>
      <c r="M72" s="92"/>
      <c r="N72" s="92"/>
      <c r="O72" s="92"/>
    </row>
    <row r="73" spans="1:15" ht="15">
      <c r="A73" s="90"/>
      <c r="B73" s="100"/>
      <c r="C73" s="100"/>
      <c r="D73" s="90"/>
      <c r="E73" s="90"/>
      <c r="F73" s="90"/>
      <c r="G73" s="90"/>
      <c r="H73" s="90"/>
      <c r="I73" s="97"/>
      <c r="J73" s="97"/>
      <c r="K73" s="92"/>
      <c r="L73" s="92"/>
      <c r="M73" s="92"/>
      <c r="N73" s="92"/>
      <c r="O73" s="92"/>
    </row>
    <row r="74" spans="1:15" ht="15">
      <c r="A74" s="90"/>
      <c r="B74" s="100"/>
      <c r="C74" s="100"/>
      <c r="D74" s="90"/>
      <c r="E74" s="90"/>
      <c r="F74" s="90"/>
      <c r="G74" s="90"/>
      <c r="H74" s="90"/>
      <c r="I74" s="97"/>
      <c r="J74" s="97"/>
      <c r="K74" s="92"/>
      <c r="L74" s="92"/>
      <c r="M74" s="92"/>
      <c r="N74" s="92"/>
      <c r="O74" s="92"/>
    </row>
    <row r="75" spans="1:15" ht="15">
      <c r="A75" s="90"/>
      <c r="B75" s="100"/>
      <c r="C75" s="100"/>
      <c r="D75" s="90"/>
      <c r="E75" s="90"/>
      <c r="F75" s="90"/>
      <c r="G75" s="90"/>
      <c r="H75" s="90"/>
      <c r="I75" s="97"/>
      <c r="J75" s="97"/>
      <c r="K75" s="92"/>
      <c r="L75" s="92"/>
      <c r="M75" s="92"/>
      <c r="N75" s="92"/>
      <c r="O75" s="92"/>
    </row>
    <row r="76" spans="1:15" ht="15">
      <c r="A76" s="90"/>
      <c r="B76" s="100"/>
      <c r="C76" s="100"/>
      <c r="D76" s="90"/>
      <c r="E76" s="90"/>
      <c r="F76" s="90"/>
      <c r="G76" s="90"/>
      <c r="H76" s="90"/>
      <c r="I76" s="97"/>
      <c r="J76" s="97"/>
      <c r="K76" s="92"/>
      <c r="L76" s="92"/>
      <c r="M76" s="92"/>
      <c r="N76" s="92"/>
      <c r="O76" s="92"/>
    </row>
    <row r="77" spans="1:15" ht="15">
      <c r="A77" s="90"/>
      <c r="B77" s="100"/>
      <c r="C77" s="100"/>
      <c r="D77" s="90"/>
      <c r="E77" s="90"/>
      <c r="F77" s="90"/>
      <c r="G77" s="90"/>
      <c r="H77" s="90"/>
      <c r="I77" s="97"/>
      <c r="J77" s="97"/>
      <c r="K77" s="92"/>
      <c r="L77" s="92"/>
      <c r="M77" s="92"/>
      <c r="N77" s="92"/>
      <c r="O77" s="92"/>
    </row>
    <row r="78" spans="1:15" ht="15">
      <c r="A78" s="90"/>
      <c r="B78" s="100"/>
      <c r="C78" s="100"/>
      <c r="D78" s="90"/>
      <c r="E78" s="90"/>
      <c r="F78" s="90"/>
      <c r="G78" s="90"/>
      <c r="H78" s="90"/>
      <c r="I78" s="97"/>
      <c r="J78" s="97"/>
      <c r="K78" s="92"/>
      <c r="L78" s="92"/>
      <c r="M78" s="92"/>
      <c r="N78" s="92"/>
      <c r="O78" s="92"/>
    </row>
    <row r="79" spans="1:15" ht="15">
      <c r="A79" s="90"/>
      <c r="B79" s="100"/>
      <c r="C79" s="100"/>
      <c r="D79" s="90"/>
      <c r="E79" s="90"/>
      <c r="F79" s="90"/>
      <c r="G79" s="90"/>
      <c r="H79" s="90"/>
      <c r="I79" s="97"/>
      <c r="J79" s="97"/>
      <c r="K79" s="92"/>
      <c r="L79" s="92"/>
      <c r="M79" s="92"/>
      <c r="N79" s="92"/>
      <c r="O79" s="92"/>
    </row>
    <row r="80" spans="1:15" ht="15">
      <c r="A80" s="90"/>
      <c r="B80" s="100"/>
      <c r="C80" s="100"/>
      <c r="D80" s="90"/>
      <c r="E80" s="90"/>
      <c r="F80" s="90"/>
      <c r="G80" s="90"/>
      <c r="H80" s="90"/>
      <c r="I80" s="97"/>
      <c r="J80" s="97"/>
      <c r="K80" s="92"/>
      <c r="L80" s="92"/>
      <c r="M80" s="92"/>
      <c r="N80" s="92"/>
      <c r="O80" s="92"/>
    </row>
    <row r="81" spans="1:15" ht="15">
      <c r="A81" s="90"/>
      <c r="B81" s="100"/>
      <c r="C81" s="100"/>
      <c r="D81" s="90"/>
      <c r="E81" s="90"/>
      <c r="F81" s="90"/>
      <c r="G81" s="90"/>
      <c r="H81" s="90"/>
      <c r="I81" s="97"/>
      <c r="J81" s="97"/>
      <c r="K81" s="152"/>
      <c r="L81" s="152"/>
      <c r="M81" s="92"/>
      <c r="N81" s="92"/>
      <c r="O81" s="92"/>
    </row>
    <row r="82" spans="1:15" ht="15">
      <c r="A82" s="90"/>
      <c r="B82" s="100"/>
      <c r="C82" s="100"/>
      <c r="D82" s="90"/>
      <c r="E82" s="90"/>
      <c r="F82" s="90"/>
      <c r="G82" s="90"/>
      <c r="H82" s="90"/>
      <c r="I82" s="97"/>
      <c r="J82" s="97"/>
      <c r="K82" s="152"/>
      <c r="L82" s="152"/>
      <c r="M82" s="92"/>
      <c r="N82" s="92"/>
      <c r="O82" s="92"/>
    </row>
    <row r="83" spans="1:15" ht="15">
      <c r="A83" s="90"/>
      <c r="B83" s="100"/>
      <c r="C83" s="100"/>
      <c r="D83" s="90"/>
      <c r="E83" s="90"/>
      <c r="F83" s="90"/>
      <c r="G83" s="90"/>
      <c r="H83" s="90"/>
      <c r="I83" s="97"/>
      <c r="J83" s="97"/>
      <c r="K83" s="152"/>
      <c r="L83" s="152"/>
      <c r="M83" s="92"/>
      <c r="N83" s="92"/>
      <c r="O83" s="92"/>
    </row>
    <row r="84" spans="1:15" ht="15">
      <c r="A84" s="90"/>
      <c r="B84" s="100"/>
      <c r="C84" s="100"/>
      <c r="D84" s="90"/>
      <c r="E84" s="90"/>
      <c r="F84" s="90"/>
      <c r="G84" s="90"/>
      <c r="H84" s="90"/>
      <c r="I84" s="97"/>
      <c r="J84" s="97"/>
      <c r="K84" s="152"/>
      <c r="L84" s="152"/>
      <c r="M84" s="92"/>
      <c r="N84" s="92"/>
      <c r="O84" s="92"/>
    </row>
    <row r="85" spans="1:15" ht="15">
      <c r="A85" s="90"/>
      <c r="B85" s="100"/>
      <c r="C85" s="100"/>
      <c r="D85" s="90"/>
      <c r="E85" s="90"/>
      <c r="F85" s="90"/>
      <c r="G85" s="90"/>
      <c r="H85" s="90"/>
      <c r="I85" s="97"/>
      <c r="J85" s="97"/>
      <c r="K85" s="92"/>
      <c r="L85" s="92"/>
      <c r="M85" s="92"/>
      <c r="N85" s="92"/>
      <c r="O85" s="92"/>
    </row>
    <row r="86" spans="1:15" ht="15">
      <c r="A86" s="90"/>
      <c r="B86" s="100"/>
      <c r="C86" s="100"/>
      <c r="D86" s="90"/>
      <c r="E86" s="90"/>
      <c r="F86" s="90"/>
      <c r="G86" s="90"/>
      <c r="H86" s="90"/>
      <c r="I86" s="97"/>
      <c r="J86" s="97"/>
      <c r="K86" s="92"/>
      <c r="L86" s="92"/>
      <c r="M86" s="92"/>
      <c r="N86" s="92"/>
      <c r="O86" s="92"/>
    </row>
    <row r="87" spans="1:15" ht="15">
      <c r="A87" s="90"/>
      <c r="B87" s="100"/>
      <c r="C87" s="100"/>
      <c r="D87" s="90"/>
      <c r="E87" s="90"/>
      <c r="F87" s="90"/>
      <c r="G87" s="90"/>
      <c r="H87" s="90"/>
      <c r="I87" s="97"/>
      <c r="J87" s="97"/>
      <c r="K87" s="92"/>
      <c r="L87" s="92"/>
      <c r="M87" s="92"/>
      <c r="N87" s="92"/>
      <c r="O87" s="92"/>
    </row>
    <row r="88" spans="1:15" ht="15">
      <c r="A88" s="90"/>
      <c r="B88" s="100"/>
      <c r="C88" s="100"/>
      <c r="D88" s="90"/>
      <c r="E88" s="90"/>
      <c r="F88" s="90"/>
      <c r="G88" s="90"/>
      <c r="H88" s="90"/>
      <c r="I88" s="97"/>
      <c r="J88" s="97"/>
      <c r="K88" s="92"/>
      <c r="L88" s="92"/>
      <c r="M88" s="92"/>
      <c r="N88" s="92"/>
      <c r="O88" s="92"/>
    </row>
    <row r="89" spans="1:15" ht="15">
      <c r="A89" s="90"/>
      <c r="B89" s="100"/>
      <c r="C89" s="100"/>
      <c r="D89" s="90"/>
      <c r="E89" s="90"/>
      <c r="F89" s="90"/>
      <c r="G89" s="90"/>
      <c r="H89" s="90"/>
      <c r="I89" s="97"/>
      <c r="J89" s="97"/>
      <c r="K89" s="92"/>
      <c r="L89" s="92"/>
      <c r="M89" s="92"/>
      <c r="N89" s="92"/>
      <c r="O89" s="92"/>
    </row>
    <row r="90" spans="1:15" ht="15">
      <c r="A90" s="90"/>
      <c r="B90" s="100"/>
      <c r="C90" s="100"/>
      <c r="D90" s="90"/>
      <c r="E90" s="90"/>
      <c r="F90" s="90"/>
      <c r="G90" s="90"/>
      <c r="H90" s="90"/>
      <c r="I90" s="97"/>
      <c r="J90" s="97"/>
      <c r="K90" s="92"/>
      <c r="L90" s="92"/>
      <c r="M90" s="92"/>
      <c r="N90" s="92"/>
      <c r="O90" s="92"/>
    </row>
    <row r="91" spans="1:15" ht="15">
      <c r="A91" s="90"/>
      <c r="B91" s="100"/>
      <c r="C91" s="100"/>
      <c r="D91" s="90"/>
      <c r="E91" s="90"/>
      <c r="F91" s="90"/>
      <c r="G91" s="90"/>
      <c r="H91" s="90"/>
      <c r="I91" s="97"/>
      <c r="J91" s="97"/>
      <c r="K91" s="92"/>
      <c r="L91" s="92"/>
      <c r="M91" s="92"/>
      <c r="N91" s="92"/>
      <c r="O91" s="92"/>
    </row>
    <row r="92" spans="1:15" ht="15">
      <c r="A92" s="90"/>
      <c r="B92" s="100"/>
      <c r="C92" s="100"/>
      <c r="D92" s="90"/>
      <c r="E92" s="90"/>
      <c r="F92" s="90"/>
      <c r="G92" s="90"/>
      <c r="H92" s="90"/>
      <c r="I92" s="97"/>
      <c r="J92" s="97"/>
      <c r="K92" s="92"/>
      <c r="L92" s="92"/>
      <c r="M92" s="92"/>
      <c r="N92" s="92"/>
      <c r="O92" s="92"/>
    </row>
    <row r="93" spans="1:15" ht="15">
      <c r="A93" s="90"/>
      <c r="B93" s="100"/>
      <c r="C93" s="100"/>
      <c r="D93" s="90"/>
      <c r="E93" s="90"/>
      <c r="F93" s="90"/>
      <c r="G93" s="90"/>
      <c r="H93" s="90"/>
      <c r="I93" s="97"/>
      <c r="J93" s="97"/>
      <c r="K93" s="92"/>
      <c r="L93" s="92"/>
      <c r="M93" s="92"/>
      <c r="N93" s="92"/>
      <c r="O93" s="92"/>
    </row>
    <row r="94" spans="1:15" ht="15">
      <c r="A94" s="90"/>
      <c r="B94" s="100"/>
      <c r="C94" s="100"/>
      <c r="D94" s="90"/>
      <c r="E94" s="90"/>
      <c r="F94" s="90"/>
      <c r="G94" s="90"/>
      <c r="H94" s="90"/>
      <c r="I94" s="97"/>
      <c r="J94" s="97"/>
      <c r="K94" s="92"/>
      <c r="L94" s="92"/>
      <c r="M94" s="92"/>
      <c r="N94" s="92"/>
      <c r="O94" s="92"/>
    </row>
    <row r="95" spans="1:15" ht="15">
      <c r="A95" s="90"/>
      <c r="B95" s="100"/>
      <c r="C95" s="100"/>
      <c r="D95" s="90"/>
      <c r="E95" s="90"/>
      <c r="F95" s="90"/>
      <c r="G95" s="90"/>
      <c r="H95" s="90"/>
      <c r="I95" s="97"/>
      <c r="J95" s="97"/>
      <c r="K95" s="92"/>
      <c r="L95" s="92"/>
      <c r="M95" s="92"/>
      <c r="N95" s="92"/>
      <c r="O95" s="92"/>
    </row>
    <row r="96" spans="1:15" ht="15">
      <c r="A96" s="90"/>
      <c r="B96" s="100"/>
      <c r="C96" s="100"/>
      <c r="D96" s="90"/>
      <c r="E96" s="90"/>
      <c r="F96" s="90"/>
      <c r="G96" s="90"/>
      <c r="H96" s="90"/>
      <c r="I96" s="97"/>
      <c r="J96" s="97"/>
      <c r="K96" s="92"/>
      <c r="L96" s="92"/>
      <c r="M96" s="92"/>
      <c r="N96" s="92"/>
      <c r="O96" s="92"/>
    </row>
    <row r="97" spans="1:15" ht="15">
      <c r="A97" s="90"/>
      <c r="B97" s="100"/>
      <c r="C97" s="100"/>
      <c r="D97" s="90"/>
      <c r="E97" s="90"/>
      <c r="F97" s="90"/>
      <c r="G97" s="90"/>
      <c r="H97" s="90"/>
      <c r="I97" s="97"/>
      <c r="J97" s="97"/>
      <c r="K97" s="92"/>
      <c r="L97" s="92"/>
      <c r="M97" s="92"/>
      <c r="N97" s="92"/>
      <c r="O97" s="92"/>
    </row>
    <row r="98" spans="1:15" ht="15">
      <c r="A98" s="90"/>
      <c r="B98" s="100"/>
      <c r="C98" s="100"/>
      <c r="D98" s="90"/>
      <c r="E98" s="90"/>
      <c r="F98" s="90"/>
      <c r="G98" s="90"/>
      <c r="H98" s="90"/>
      <c r="I98" s="97"/>
      <c r="J98" s="97"/>
      <c r="K98" s="92"/>
      <c r="L98" s="92"/>
      <c r="M98" s="92"/>
      <c r="N98" s="92"/>
      <c r="O98" s="92"/>
    </row>
    <row r="99" spans="1:15" ht="15">
      <c r="A99" s="90"/>
      <c r="B99" s="100"/>
      <c r="C99" s="100"/>
      <c r="D99" s="90"/>
      <c r="E99" s="90"/>
      <c r="F99" s="90"/>
      <c r="G99" s="90"/>
      <c r="H99" s="90"/>
      <c r="I99" s="97"/>
      <c r="J99" s="97"/>
      <c r="K99" s="92"/>
      <c r="L99" s="92"/>
      <c r="M99" s="92"/>
      <c r="N99" s="92"/>
      <c r="O99" s="92"/>
    </row>
    <row r="100" spans="1:15" ht="15">
      <c r="A100" s="90"/>
      <c r="B100" s="100"/>
      <c r="C100" s="100"/>
      <c r="D100" s="90"/>
      <c r="E100" s="90"/>
      <c r="F100" s="90"/>
      <c r="G100" s="90"/>
      <c r="H100" s="90"/>
      <c r="I100" s="97"/>
      <c r="J100" s="97"/>
      <c r="K100" s="92"/>
      <c r="L100" s="92"/>
      <c r="M100" s="92"/>
      <c r="N100" s="92"/>
      <c r="O100" s="92"/>
    </row>
    <row r="101" spans="1:15" ht="15">
      <c r="A101" s="90"/>
      <c r="B101" s="100"/>
      <c r="C101" s="100"/>
      <c r="D101" s="90"/>
      <c r="E101" s="90"/>
      <c r="F101" s="90"/>
      <c r="G101" s="90"/>
      <c r="H101" s="90"/>
      <c r="I101" s="97"/>
      <c r="J101" s="97"/>
      <c r="K101" s="92"/>
      <c r="L101" s="92"/>
      <c r="M101" s="92"/>
      <c r="N101" s="92"/>
      <c r="O101" s="92"/>
    </row>
    <row r="102" spans="1:15" ht="15">
      <c r="A102" s="90"/>
      <c r="B102" s="100"/>
      <c r="C102" s="100"/>
      <c r="D102" s="90"/>
      <c r="E102" s="90"/>
      <c r="F102" s="90"/>
      <c r="G102" s="90"/>
      <c r="H102" s="90"/>
      <c r="I102" s="97"/>
      <c r="J102" s="97"/>
      <c r="K102" s="92"/>
      <c r="L102" s="92"/>
      <c r="M102" s="92"/>
      <c r="N102" s="92"/>
      <c r="O102" s="92"/>
    </row>
    <row r="103" spans="1:15" ht="15">
      <c r="A103" s="90"/>
      <c r="B103" s="100"/>
      <c r="C103" s="100"/>
      <c r="D103" s="90"/>
      <c r="E103" s="90"/>
      <c r="F103" s="90"/>
      <c r="G103" s="90"/>
      <c r="H103" s="90"/>
      <c r="I103" s="97"/>
      <c r="J103" s="97"/>
      <c r="K103" s="92"/>
      <c r="L103" s="92"/>
      <c r="M103" s="92"/>
      <c r="N103" s="92"/>
      <c r="O103" s="92"/>
    </row>
    <row r="104" spans="1:15" ht="15">
      <c r="A104" s="90"/>
      <c r="B104" s="100"/>
      <c r="C104" s="100"/>
      <c r="D104" s="90"/>
      <c r="E104" s="90"/>
      <c r="F104" s="90"/>
      <c r="G104" s="90"/>
      <c r="H104" s="90"/>
      <c r="I104" s="97"/>
      <c r="J104" s="97"/>
      <c r="K104" s="92"/>
      <c r="L104" s="92"/>
      <c r="M104" s="92"/>
      <c r="N104" s="92"/>
      <c r="O104" s="92"/>
    </row>
    <row r="105" spans="1:15" ht="15">
      <c r="A105" s="90"/>
      <c r="B105" s="100"/>
      <c r="C105" s="100"/>
      <c r="D105" s="90"/>
      <c r="E105" s="90"/>
      <c r="F105" s="90"/>
      <c r="G105" s="90"/>
      <c r="H105" s="90"/>
      <c r="I105" s="97"/>
      <c r="J105" s="97"/>
      <c r="K105" s="92"/>
      <c r="L105" s="92"/>
      <c r="M105" s="92"/>
      <c r="N105" s="92"/>
      <c r="O105" s="92"/>
    </row>
    <row r="106" spans="1:15" ht="15">
      <c r="A106" s="90"/>
      <c r="B106" s="100"/>
      <c r="C106" s="100"/>
      <c r="D106" s="90"/>
      <c r="E106" s="90"/>
      <c r="F106" s="90"/>
      <c r="G106" s="90"/>
      <c r="H106" s="90"/>
      <c r="I106" s="97"/>
      <c r="J106" s="97"/>
      <c r="K106" s="92"/>
      <c r="L106" s="92"/>
      <c r="M106" s="92"/>
      <c r="N106" s="92"/>
      <c r="O106" s="92"/>
    </row>
    <row r="107" spans="1:15" ht="15">
      <c r="A107" s="90"/>
      <c r="B107" s="100"/>
      <c r="C107" s="100"/>
      <c r="D107" s="90"/>
      <c r="E107" s="90"/>
      <c r="F107" s="90"/>
      <c r="G107" s="90"/>
      <c r="H107" s="90"/>
      <c r="I107" s="97"/>
      <c r="J107" s="97"/>
      <c r="K107" s="92"/>
      <c r="L107" s="92"/>
      <c r="M107" s="92"/>
      <c r="N107" s="92"/>
      <c r="O107" s="92"/>
    </row>
    <row r="108" spans="1:15" ht="15">
      <c r="A108" s="90"/>
      <c r="B108" s="100"/>
      <c r="C108" s="100"/>
      <c r="D108" s="90"/>
      <c r="E108" s="90"/>
      <c r="F108" s="90"/>
      <c r="G108" s="90"/>
      <c r="H108" s="90"/>
      <c r="I108" s="97"/>
      <c r="J108" s="97"/>
      <c r="K108" s="92"/>
      <c r="L108" s="92"/>
      <c r="M108" s="92"/>
      <c r="N108" s="92"/>
      <c r="O108" s="92"/>
    </row>
    <row r="109" spans="1:15" ht="15">
      <c r="A109" s="90"/>
      <c r="B109" s="100"/>
      <c r="C109" s="100"/>
      <c r="D109" s="90"/>
      <c r="E109" s="90"/>
      <c r="F109" s="90"/>
      <c r="G109" s="90"/>
      <c r="H109" s="90"/>
      <c r="I109" s="97"/>
      <c r="J109" s="97"/>
      <c r="K109" s="92"/>
      <c r="L109" s="92"/>
      <c r="M109" s="92"/>
      <c r="N109" s="92"/>
      <c r="O109" s="92"/>
    </row>
    <row r="110" spans="1:15" ht="15">
      <c r="A110" s="90"/>
      <c r="B110" s="100"/>
      <c r="C110" s="100"/>
      <c r="D110" s="90"/>
      <c r="E110" s="90"/>
      <c r="F110" s="90"/>
      <c r="G110" s="90"/>
      <c r="H110" s="90"/>
      <c r="I110" s="97"/>
      <c r="J110" s="97"/>
      <c r="K110" s="92"/>
      <c r="L110" s="92"/>
      <c r="M110" s="92"/>
      <c r="N110" s="92"/>
      <c r="O110" s="92"/>
    </row>
    <row r="111" spans="1:15" ht="15">
      <c r="A111" s="90"/>
      <c r="B111" s="100"/>
      <c r="C111" s="100"/>
      <c r="D111" s="90"/>
      <c r="E111" s="90"/>
      <c r="F111" s="90"/>
      <c r="G111" s="90"/>
      <c r="H111" s="90"/>
      <c r="I111" s="97"/>
      <c r="J111" s="97"/>
      <c r="K111" s="92"/>
      <c r="L111" s="92"/>
      <c r="M111" s="92"/>
      <c r="N111" s="92"/>
      <c r="O111" s="92"/>
    </row>
    <row r="112" spans="1:15" ht="15">
      <c r="A112" s="90"/>
      <c r="B112" s="100"/>
      <c r="C112" s="100"/>
      <c r="D112" s="90"/>
      <c r="E112" s="90"/>
      <c r="F112" s="90"/>
      <c r="G112" s="90"/>
      <c r="H112" s="90"/>
      <c r="I112" s="97"/>
      <c r="J112" s="97"/>
      <c r="K112" s="92"/>
      <c r="L112" s="92"/>
      <c r="M112" s="92"/>
      <c r="N112" s="92"/>
      <c r="O112" s="92"/>
    </row>
    <row r="113" spans="1:15" ht="15">
      <c r="A113" s="90"/>
      <c r="B113" s="100"/>
      <c r="C113" s="100"/>
      <c r="D113" s="90"/>
      <c r="E113" s="90"/>
      <c r="F113" s="90"/>
      <c r="G113" s="90"/>
      <c r="H113" s="90"/>
      <c r="I113" s="97"/>
      <c r="J113" s="97"/>
      <c r="K113" s="92"/>
      <c r="L113" s="92"/>
      <c r="M113" s="92"/>
      <c r="N113" s="92"/>
      <c r="O113" s="92"/>
    </row>
    <row r="114" spans="1:15" ht="15">
      <c r="A114" s="90"/>
      <c r="B114" s="100"/>
      <c r="C114" s="100"/>
      <c r="D114" s="90"/>
      <c r="E114" s="90"/>
      <c r="F114" s="90"/>
      <c r="G114" s="90"/>
      <c r="H114" s="90"/>
      <c r="I114" s="97"/>
      <c r="J114" s="97"/>
      <c r="K114" s="92"/>
      <c r="L114" s="92"/>
      <c r="M114" s="92"/>
      <c r="N114" s="92"/>
      <c r="O114" s="92"/>
    </row>
    <row r="115" spans="1:15" ht="15">
      <c r="A115" s="90"/>
      <c r="B115" s="100"/>
      <c r="C115" s="100"/>
      <c r="D115" s="90"/>
      <c r="E115" s="90"/>
      <c r="F115" s="90"/>
      <c r="G115" s="90"/>
      <c r="H115" s="90"/>
      <c r="I115" s="97"/>
      <c r="J115" s="97"/>
      <c r="K115" s="92"/>
      <c r="L115" s="92"/>
      <c r="M115" s="92"/>
      <c r="N115" s="92"/>
      <c r="O115" s="92"/>
    </row>
    <row r="116" spans="1:15" ht="15">
      <c r="A116" s="90"/>
      <c r="B116" s="100"/>
      <c r="C116" s="100"/>
      <c r="D116" s="90"/>
      <c r="E116" s="90"/>
      <c r="F116" s="90"/>
      <c r="G116" s="90"/>
      <c r="H116" s="90"/>
      <c r="I116" s="97"/>
      <c r="J116" s="97"/>
      <c r="K116" s="92"/>
      <c r="L116" s="92"/>
      <c r="M116" s="92"/>
      <c r="N116" s="92"/>
      <c r="O116" s="92"/>
    </row>
    <row r="117" spans="1:15" ht="15">
      <c r="A117" s="90"/>
      <c r="B117" s="100"/>
      <c r="C117" s="100"/>
      <c r="D117" s="90"/>
      <c r="E117" s="90"/>
      <c r="F117" s="90"/>
      <c r="G117" s="90"/>
      <c r="H117" s="90"/>
      <c r="I117" s="97"/>
      <c r="J117" s="97"/>
      <c r="K117" s="92"/>
      <c r="L117" s="92"/>
      <c r="M117" s="92"/>
      <c r="N117" s="92"/>
      <c r="O117" s="92"/>
    </row>
    <row r="118" spans="1:15" ht="15">
      <c r="A118" s="90"/>
      <c r="B118" s="100"/>
      <c r="C118" s="100"/>
      <c r="D118" s="90"/>
      <c r="E118" s="90"/>
      <c r="F118" s="90"/>
      <c r="G118" s="90"/>
      <c r="H118" s="90"/>
      <c r="I118" s="97"/>
      <c r="J118" s="97"/>
      <c r="K118" s="92"/>
      <c r="L118" s="92"/>
      <c r="M118" s="92"/>
      <c r="N118" s="92"/>
      <c r="O118" s="92"/>
    </row>
    <row r="119" spans="1:15" ht="15">
      <c r="A119" s="90"/>
      <c r="B119" s="100"/>
      <c r="C119" s="100"/>
      <c r="D119" s="90"/>
      <c r="E119" s="90"/>
      <c r="F119" s="90"/>
      <c r="G119" s="90"/>
      <c r="H119" s="90"/>
      <c r="I119" s="97"/>
      <c r="J119" s="97"/>
      <c r="K119" s="92"/>
      <c r="L119" s="92"/>
      <c r="M119" s="92"/>
      <c r="N119" s="92"/>
      <c r="O119" s="92"/>
    </row>
    <row r="120" spans="1:15" ht="15">
      <c r="A120" s="90"/>
      <c r="B120" s="100"/>
      <c r="C120" s="100"/>
      <c r="D120" s="90"/>
      <c r="E120" s="90"/>
      <c r="F120" s="90"/>
      <c r="G120" s="90"/>
      <c r="H120" s="90"/>
      <c r="I120" s="97"/>
      <c r="J120" s="97"/>
      <c r="K120" s="92"/>
      <c r="L120" s="92"/>
      <c r="M120" s="92"/>
      <c r="N120" s="92"/>
      <c r="O120" s="92"/>
    </row>
    <row r="121" spans="1:15" ht="15">
      <c r="A121" s="90"/>
      <c r="B121" s="100"/>
      <c r="C121" s="100"/>
      <c r="D121" s="90"/>
      <c r="E121" s="90"/>
      <c r="F121" s="90"/>
      <c r="G121" s="90"/>
      <c r="H121" s="90"/>
      <c r="I121" s="97"/>
      <c r="J121" s="97"/>
      <c r="K121" s="92"/>
      <c r="L121" s="92"/>
      <c r="M121" s="92"/>
      <c r="N121" s="92"/>
      <c r="O121" s="92"/>
    </row>
    <row r="122" spans="1:15" ht="15">
      <c r="A122" s="90"/>
      <c r="B122" s="100"/>
      <c r="C122" s="100"/>
      <c r="D122" s="90"/>
      <c r="E122" s="90"/>
      <c r="F122" s="90"/>
      <c r="G122" s="90"/>
      <c r="H122" s="90"/>
      <c r="I122" s="97"/>
      <c r="J122" s="97"/>
      <c r="K122" s="92"/>
      <c r="L122" s="92"/>
      <c r="M122" s="92"/>
      <c r="N122" s="92"/>
      <c r="O122" s="92"/>
    </row>
    <row r="123" spans="1:15" ht="15">
      <c r="A123" s="90"/>
      <c r="B123" s="100"/>
      <c r="C123" s="100"/>
      <c r="D123" s="90"/>
      <c r="E123" s="90"/>
      <c r="F123" s="90"/>
      <c r="G123" s="90"/>
      <c r="H123" s="90"/>
      <c r="I123" s="97"/>
      <c r="J123" s="97"/>
      <c r="K123" s="92"/>
      <c r="L123" s="92"/>
      <c r="M123" s="92"/>
      <c r="N123" s="92"/>
      <c r="O123" s="92"/>
    </row>
    <row r="124" spans="1:15" ht="15">
      <c r="A124" s="90"/>
      <c r="B124" s="100"/>
      <c r="C124" s="100"/>
      <c r="D124" s="90"/>
      <c r="E124" s="90"/>
      <c r="F124" s="90"/>
      <c r="G124" s="90"/>
      <c r="H124" s="90"/>
      <c r="I124" s="97"/>
      <c r="J124" s="97"/>
      <c r="K124" s="92"/>
      <c r="L124" s="92"/>
      <c r="M124" s="92"/>
      <c r="N124" s="92"/>
      <c r="O124" s="92"/>
    </row>
    <row r="125" spans="1:15" ht="15">
      <c r="A125" s="90"/>
      <c r="B125" s="100"/>
      <c r="C125" s="100"/>
      <c r="D125" s="90"/>
      <c r="E125" s="90"/>
      <c r="F125" s="90"/>
      <c r="G125" s="90"/>
      <c r="H125" s="90"/>
      <c r="I125" s="97"/>
      <c r="J125" s="97"/>
      <c r="K125" s="92"/>
      <c r="L125" s="92"/>
      <c r="M125" s="92"/>
      <c r="N125" s="92"/>
      <c r="O125" s="92"/>
    </row>
    <row r="126" spans="1:15" ht="15">
      <c r="A126" s="90"/>
      <c r="B126" s="100"/>
      <c r="C126" s="100"/>
      <c r="D126" s="90"/>
      <c r="E126" s="90"/>
      <c r="F126" s="90"/>
      <c r="G126" s="90"/>
      <c r="H126" s="90"/>
      <c r="I126" s="97"/>
      <c r="J126" s="97"/>
      <c r="K126" s="92"/>
      <c r="L126" s="92"/>
      <c r="M126" s="92"/>
      <c r="N126" s="92"/>
      <c r="O126" s="92"/>
    </row>
    <row r="127" spans="1:15" ht="15">
      <c r="A127" s="90"/>
      <c r="B127" s="100"/>
      <c r="C127" s="100"/>
      <c r="D127" s="90"/>
      <c r="E127" s="90"/>
      <c r="F127" s="90"/>
      <c r="G127" s="90"/>
      <c r="H127" s="90"/>
      <c r="I127" s="97"/>
      <c r="J127" s="97"/>
      <c r="K127" s="92"/>
      <c r="L127" s="92"/>
      <c r="M127" s="92"/>
      <c r="N127" s="92"/>
      <c r="O127" s="92"/>
    </row>
    <row r="128" spans="1:15" ht="15">
      <c r="A128" s="90"/>
      <c r="B128" s="100"/>
      <c r="C128" s="100"/>
      <c r="D128" s="90"/>
      <c r="E128" s="90"/>
      <c r="F128" s="90"/>
      <c r="G128" s="90"/>
      <c r="H128" s="90"/>
      <c r="I128" s="97"/>
      <c r="J128" s="97"/>
      <c r="K128" s="92"/>
      <c r="L128" s="92"/>
      <c r="M128" s="92"/>
      <c r="N128" s="92"/>
      <c r="O128" s="92"/>
    </row>
    <row r="129" spans="1:15" ht="15">
      <c r="A129" s="90"/>
      <c r="B129" s="100"/>
      <c r="C129" s="100"/>
      <c r="D129" s="90"/>
      <c r="E129" s="90"/>
      <c r="F129" s="90"/>
      <c r="G129" s="90"/>
      <c r="H129" s="90"/>
      <c r="I129" s="97"/>
      <c r="J129" s="97"/>
      <c r="K129" s="92"/>
      <c r="L129" s="92"/>
      <c r="M129" s="92"/>
      <c r="N129" s="92"/>
      <c r="O129" s="92"/>
    </row>
    <row r="130" spans="1:15" ht="15">
      <c r="A130" s="90"/>
      <c r="B130" s="100"/>
      <c r="C130" s="100"/>
      <c r="D130" s="90"/>
      <c r="E130" s="90"/>
      <c r="F130" s="90"/>
      <c r="G130" s="90"/>
      <c r="H130" s="90"/>
      <c r="I130" s="97"/>
      <c r="J130" s="97"/>
      <c r="K130" s="92"/>
      <c r="L130" s="92"/>
      <c r="M130" s="92"/>
      <c r="N130" s="92"/>
      <c r="O130" s="92"/>
    </row>
    <row r="131" spans="1:15" ht="15">
      <c r="A131" s="90"/>
      <c r="B131" s="100"/>
      <c r="C131" s="100"/>
      <c r="D131" s="90"/>
      <c r="E131" s="90"/>
      <c r="F131" s="90"/>
      <c r="G131" s="90"/>
      <c r="H131" s="90"/>
      <c r="I131" s="97"/>
      <c r="J131" s="97"/>
      <c r="K131" s="92"/>
      <c r="L131" s="92"/>
      <c r="M131" s="92"/>
      <c r="N131" s="92"/>
      <c r="O131" s="92"/>
    </row>
    <row r="132" spans="1:15" ht="15">
      <c r="A132" s="90"/>
      <c r="B132" s="100"/>
      <c r="C132" s="100"/>
      <c r="D132" s="90"/>
      <c r="E132" s="90"/>
      <c r="F132" s="90"/>
      <c r="G132" s="90"/>
      <c r="H132" s="90"/>
      <c r="I132" s="97"/>
      <c r="J132" s="97"/>
      <c r="K132" s="92"/>
      <c r="L132" s="92"/>
      <c r="M132" s="92"/>
      <c r="N132" s="92"/>
      <c r="O132" s="92"/>
    </row>
    <row r="133" spans="1:15" ht="15">
      <c r="A133" s="90"/>
      <c r="B133" s="100"/>
      <c r="C133" s="100"/>
      <c r="D133" s="90"/>
      <c r="E133" s="90"/>
      <c r="F133" s="90"/>
      <c r="G133" s="90"/>
      <c r="H133" s="90"/>
      <c r="I133" s="97"/>
      <c r="J133" s="97"/>
      <c r="K133" s="92"/>
      <c r="L133" s="92"/>
      <c r="M133" s="92"/>
      <c r="N133" s="92"/>
      <c r="O133" s="92"/>
    </row>
    <row r="134" spans="1:15" ht="15">
      <c r="A134" s="90"/>
      <c r="B134" s="100"/>
      <c r="C134" s="100"/>
      <c r="D134" s="90"/>
      <c r="E134" s="90"/>
      <c r="F134" s="90"/>
      <c r="G134" s="90"/>
      <c r="H134" s="90"/>
      <c r="I134" s="97"/>
      <c r="J134" s="97"/>
      <c r="K134" s="92"/>
      <c r="L134" s="92"/>
      <c r="M134" s="92"/>
      <c r="N134" s="92"/>
      <c r="O134" s="92"/>
    </row>
    <row r="135" spans="1:15" ht="15">
      <c r="A135" s="90"/>
      <c r="B135" s="100"/>
      <c r="C135" s="100"/>
      <c r="D135" s="90"/>
      <c r="E135" s="90"/>
      <c r="F135" s="90"/>
      <c r="G135" s="90"/>
      <c r="H135" s="90"/>
      <c r="I135" s="97"/>
      <c r="J135" s="97"/>
      <c r="K135" s="92"/>
      <c r="L135" s="92"/>
      <c r="M135" s="92"/>
      <c r="N135" s="92"/>
      <c r="O135" s="92"/>
    </row>
    <row r="136" spans="1:15" ht="15">
      <c r="A136" s="90"/>
      <c r="B136" s="100"/>
      <c r="C136" s="100"/>
      <c r="D136" s="90"/>
      <c r="E136" s="90"/>
      <c r="F136" s="90"/>
      <c r="G136" s="90"/>
      <c r="H136" s="90"/>
      <c r="I136" s="97"/>
      <c r="J136" s="97"/>
      <c r="K136" s="92"/>
      <c r="L136" s="92"/>
      <c r="M136" s="92"/>
      <c r="N136" s="92"/>
      <c r="O136" s="92"/>
    </row>
    <row r="137" spans="1:15" ht="12.75">
      <c r="A137" s="1"/>
      <c r="B137" s="1"/>
      <c r="C137" s="1"/>
      <c r="D137" s="1"/>
      <c r="E137" s="1"/>
      <c r="F137" s="1"/>
      <c r="G137" s="1"/>
      <c r="H137" s="1"/>
      <c r="I137" s="1"/>
      <c r="J137" s="1"/>
      <c r="K137" s="92"/>
      <c r="L137" s="92"/>
      <c r="M137" s="92"/>
      <c r="N137" s="92"/>
      <c r="O137" s="92"/>
    </row>
    <row r="138" spans="1:15" ht="12.75">
      <c r="A138" s="1"/>
      <c r="B138" s="1"/>
      <c r="C138" s="1"/>
      <c r="D138" s="1"/>
      <c r="E138" s="1"/>
      <c r="F138" s="1"/>
      <c r="G138" s="1"/>
      <c r="H138" s="1"/>
      <c r="I138" s="1"/>
      <c r="J138" s="1"/>
      <c r="K138" s="92"/>
      <c r="L138" s="92"/>
      <c r="M138" s="92"/>
      <c r="N138" s="92"/>
      <c r="O138" s="92"/>
    </row>
    <row r="139" spans="1:15" ht="12.75">
      <c r="A139" s="1"/>
      <c r="B139" s="1"/>
      <c r="C139" s="1"/>
      <c r="D139" s="1"/>
      <c r="E139" s="1"/>
      <c r="F139" s="1"/>
      <c r="G139" s="1"/>
      <c r="H139" s="1"/>
      <c r="I139" s="1"/>
      <c r="J139" s="1"/>
      <c r="K139" s="92"/>
      <c r="L139" s="92"/>
      <c r="M139" s="92"/>
      <c r="N139" s="92"/>
      <c r="O139" s="92"/>
    </row>
    <row r="140" spans="1:15" ht="12.75">
      <c r="A140" s="1"/>
      <c r="B140" s="1"/>
      <c r="C140" s="1"/>
      <c r="D140" s="1"/>
      <c r="E140" s="1"/>
      <c r="F140" s="1"/>
      <c r="G140" s="1"/>
      <c r="H140" s="1"/>
      <c r="I140" s="1"/>
      <c r="J140" s="1"/>
      <c r="K140" s="92"/>
      <c r="L140" s="92"/>
      <c r="M140" s="92"/>
      <c r="N140" s="92"/>
      <c r="O140" s="92"/>
    </row>
    <row r="141" spans="1:15" ht="12.75">
      <c r="A141" s="1"/>
      <c r="B141" s="1"/>
      <c r="C141" s="1"/>
      <c r="D141" s="1"/>
      <c r="E141" s="1"/>
      <c r="F141" s="1"/>
      <c r="G141" s="1"/>
      <c r="H141" s="1"/>
      <c r="I141" s="1"/>
      <c r="J141" s="1"/>
      <c r="K141" s="92"/>
      <c r="L141" s="92"/>
      <c r="M141" s="92"/>
      <c r="N141" s="92"/>
      <c r="O141" s="92"/>
    </row>
    <row r="142" spans="1:15" ht="12.75">
      <c r="A142" s="1"/>
      <c r="B142" s="1"/>
      <c r="C142" s="1"/>
      <c r="D142" s="1"/>
      <c r="E142" s="1"/>
      <c r="F142" s="1"/>
      <c r="G142" s="1"/>
      <c r="H142" s="1"/>
      <c r="I142" s="1"/>
      <c r="J142" s="1"/>
      <c r="K142" s="92"/>
      <c r="L142" s="92"/>
      <c r="M142" s="92"/>
      <c r="N142" s="92"/>
      <c r="O142" s="92"/>
    </row>
    <row r="143" spans="1:15" ht="12.75">
      <c r="A143" s="1"/>
      <c r="B143" s="1"/>
      <c r="C143" s="1"/>
      <c r="D143" s="1"/>
      <c r="E143" s="1"/>
      <c r="F143" s="1"/>
      <c r="G143" s="1"/>
      <c r="H143" s="1"/>
      <c r="I143" s="1"/>
      <c r="J143" s="1"/>
      <c r="K143" s="92"/>
      <c r="L143" s="92"/>
      <c r="M143" s="92"/>
      <c r="N143" s="92"/>
      <c r="O143" s="92"/>
    </row>
    <row r="144" spans="1:15" ht="12.75">
      <c r="A144" s="1"/>
      <c r="B144" s="1"/>
      <c r="C144" s="1"/>
      <c r="D144" s="1"/>
      <c r="E144" s="1"/>
      <c r="F144" s="1"/>
      <c r="G144" s="1"/>
      <c r="H144" s="1"/>
      <c r="I144" s="1"/>
      <c r="J144" s="1"/>
      <c r="K144" s="92"/>
      <c r="L144" s="92"/>
      <c r="M144" s="92"/>
      <c r="N144" s="92"/>
      <c r="O144" s="92"/>
    </row>
    <row r="145" spans="1:15" ht="12.75">
      <c r="A145" s="1"/>
      <c r="B145" s="1"/>
      <c r="C145" s="1"/>
      <c r="D145" s="1"/>
      <c r="E145" s="1"/>
      <c r="F145" s="1"/>
      <c r="G145" s="1"/>
      <c r="H145" s="1"/>
      <c r="I145" s="1"/>
      <c r="J145" s="1"/>
      <c r="K145" s="92"/>
      <c r="L145" s="92"/>
      <c r="M145" s="92"/>
      <c r="N145" s="92"/>
      <c r="O145" s="92"/>
    </row>
    <row r="146" spans="1:15" ht="12.75">
      <c r="A146" s="1"/>
      <c r="B146" s="1"/>
      <c r="C146" s="1"/>
      <c r="D146" s="1"/>
      <c r="E146" s="1"/>
      <c r="F146" s="1"/>
      <c r="G146" s="1"/>
      <c r="H146" s="1"/>
      <c r="I146" s="1"/>
      <c r="J146" s="1"/>
      <c r="K146" s="92"/>
      <c r="L146" s="92"/>
      <c r="M146" s="92"/>
      <c r="N146" s="92"/>
      <c r="O146" s="92"/>
    </row>
    <row r="147" spans="1:15" ht="12.75">
      <c r="A147" s="1"/>
      <c r="B147" s="1"/>
      <c r="C147" s="1"/>
      <c r="D147" s="1"/>
      <c r="E147" s="1"/>
      <c r="F147" s="1"/>
      <c r="G147" s="1"/>
      <c r="H147" s="1"/>
      <c r="I147" s="1"/>
      <c r="J147" s="1"/>
      <c r="K147" s="92"/>
      <c r="L147" s="92"/>
      <c r="M147" s="92"/>
      <c r="N147" s="92"/>
      <c r="O147" s="92"/>
    </row>
    <row r="148" spans="1:15" ht="12.75">
      <c r="A148" s="1"/>
      <c r="B148" s="1"/>
      <c r="C148" s="1"/>
      <c r="D148" s="1"/>
      <c r="E148" s="1"/>
      <c r="F148" s="1"/>
      <c r="G148" s="1"/>
      <c r="H148" s="1"/>
      <c r="I148" s="1"/>
      <c r="J148" s="1"/>
      <c r="K148" s="92"/>
      <c r="L148" s="92"/>
      <c r="M148" s="92"/>
      <c r="N148" s="92"/>
      <c r="O148" s="92"/>
    </row>
    <row r="149" spans="1:15" ht="12.75">
      <c r="A149" s="1"/>
      <c r="B149" s="1"/>
      <c r="C149" s="1"/>
      <c r="D149" s="1"/>
      <c r="E149" s="1"/>
      <c r="F149" s="1"/>
      <c r="G149" s="1"/>
      <c r="H149" s="1"/>
      <c r="I149" s="1"/>
      <c r="J149" s="1"/>
      <c r="K149" s="92"/>
      <c r="L149" s="92"/>
      <c r="M149" s="92"/>
      <c r="N149" s="92"/>
      <c r="O149" s="92"/>
    </row>
    <row r="150" spans="1:15" ht="12.75">
      <c r="A150" s="1"/>
      <c r="B150" s="1"/>
      <c r="C150" s="1"/>
      <c r="D150" s="1"/>
      <c r="E150" s="1"/>
      <c r="F150" s="1"/>
      <c r="G150" s="1"/>
      <c r="H150" s="1"/>
      <c r="I150" s="1"/>
      <c r="J150" s="1"/>
      <c r="K150" s="92"/>
      <c r="L150" s="92"/>
      <c r="M150" s="92"/>
      <c r="N150" s="92"/>
      <c r="O150" s="92"/>
    </row>
    <row r="151" spans="1:15" ht="12.75">
      <c r="A151" s="1"/>
      <c r="B151" s="1"/>
      <c r="C151" s="1"/>
      <c r="D151" s="1"/>
      <c r="E151" s="1"/>
      <c r="F151" s="1"/>
      <c r="G151" s="1"/>
      <c r="H151" s="1"/>
      <c r="I151" s="1"/>
      <c r="J151" s="1"/>
      <c r="K151" s="92"/>
      <c r="L151" s="92"/>
      <c r="M151" s="92"/>
      <c r="N151" s="92"/>
      <c r="O151" s="92"/>
    </row>
    <row r="152" spans="1:15" ht="12.75">
      <c r="A152" s="1"/>
      <c r="B152" s="1"/>
      <c r="C152" s="1"/>
      <c r="D152" s="1"/>
      <c r="E152" s="1"/>
      <c r="F152" s="1"/>
      <c r="G152" s="1"/>
      <c r="H152" s="1"/>
      <c r="I152" s="1"/>
      <c r="J152" s="1"/>
      <c r="K152" s="92"/>
      <c r="L152" s="92"/>
      <c r="M152" s="92"/>
      <c r="N152" s="92"/>
      <c r="O152" s="92"/>
    </row>
    <row r="153" spans="1:15" ht="12.75">
      <c r="A153" s="1"/>
      <c r="B153" s="1"/>
      <c r="C153" s="1"/>
      <c r="D153" s="1"/>
      <c r="E153" s="1"/>
      <c r="F153" s="1"/>
      <c r="G153" s="1"/>
      <c r="H153" s="1"/>
      <c r="I153" s="1"/>
      <c r="J153" s="1"/>
      <c r="K153" s="92"/>
      <c r="L153" s="92"/>
      <c r="M153" s="92"/>
      <c r="N153" s="92"/>
      <c r="O153" s="92"/>
    </row>
    <row r="154" spans="1:15" ht="12.75">
      <c r="A154" s="1"/>
      <c r="B154" s="1"/>
      <c r="C154" s="1"/>
      <c r="D154" s="1"/>
      <c r="E154" s="1"/>
      <c r="F154" s="1"/>
      <c r="G154" s="1"/>
      <c r="H154" s="1"/>
      <c r="I154" s="1"/>
      <c r="J154" s="1"/>
      <c r="K154" s="92"/>
      <c r="L154" s="92"/>
      <c r="M154" s="92"/>
      <c r="N154" s="92"/>
      <c r="O154" s="92"/>
    </row>
    <row r="155" spans="1:15" ht="12.75">
      <c r="A155" s="1"/>
      <c r="B155" s="1"/>
      <c r="C155" s="1"/>
      <c r="D155" s="1"/>
      <c r="E155" s="1"/>
      <c r="F155" s="1"/>
      <c r="G155" s="1"/>
      <c r="H155" s="1"/>
      <c r="I155" s="1"/>
      <c r="J155" s="1"/>
      <c r="K155" s="92"/>
      <c r="L155" s="92"/>
      <c r="M155" s="92"/>
      <c r="N155" s="92"/>
      <c r="O155" s="92"/>
    </row>
    <row r="156" spans="1:15" ht="12.75">
      <c r="A156" s="1"/>
      <c r="B156" s="1"/>
      <c r="C156" s="1"/>
      <c r="D156" s="1"/>
      <c r="E156" s="1"/>
      <c r="F156" s="1"/>
      <c r="G156" s="1"/>
      <c r="H156" s="1"/>
      <c r="I156" s="1"/>
      <c r="J156" s="1"/>
      <c r="K156" s="92"/>
      <c r="L156" s="92"/>
      <c r="M156" s="92"/>
      <c r="N156" s="92"/>
      <c r="O156" s="92"/>
    </row>
    <row r="157" spans="1:15" ht="12.75">
      <c r="A157" s="1"/>
      <c r="B157" s="1"/>
      <c r="C157" s="1"/>
      <c r="D157" s="1"/>
      <c r="E157" s="1"/>
      <c r="F157" s="1"/>
      <c r="G157" s="1"/>
      <c r="H157" s="1"/>
      <c r="I157" s="1"/>
      <c r="J157" s="1"/>
      <c r="K157" s="92"/>
      <c r="L157" s="92"/>
      <c r="M157" s="92"/>
      <c r="N157" s="92"/>
      <c r="O157" s="92"/>
    </row>
    <row r="158" spans="1:15" ht="15">
      <c r="A158" s="90"/>
      <c r="B158" s="100"/>
      <c r="C158" s="100"/>
      <c r="D158" s="90"/>
      <c r="E158" s="90"/>
      <c r="F158" s="90"/>
      <c r="G158" s="90"/>
      <c r="H158" s="90"/>
      <c r="I158" s="97"/>
      <c r="J158" s="97"/>
      <c r="K158" s="92"/>
      <c r="L158" s="92"/>
      <c r="M158" s="92"/>
      <c r="N158" s="92"/>
      <c r="O158" s="92"/>
    </row>
    <row r="159" spans="1:15" ht="15">
      <c r="A159" s="90"/>
      <c r="B159" s="100"/>
      <c r="C159" s="100"/>
      <c r="D159" s="90"/>
      <c r="E159" s="90"/>
      <c r="F159" s="90"/>
      <c r="G159" s="90"/>
      <c r="H159" s="90"/>
      <c r="I159" s="97"/>
      <c r="J159" s="97"/>
      <c r="K159" s="92"/>
      <c r="L159" s="92"/>
      <c r="M159" s="92"/>
      <c r="N159" s="92"/>
      <c r="O159" s="92"/>
    </row>
    <row r="160" spans="1:15" ht="15">
      <c r="A160" s="90"/>
      <c r="B160" s="100"/>
      <c r="C160" s="100"/>
      <c r="D160" s="90"/>
      <c r="E160" s="90"/>
      <c r="F160" s="90"/>
      <c r="G160" s="90"/>
      <c r="H160" s="90"/>
      <c r="I160" s="97"/>
      <c r="J160" s="97"/>
      <c r="K160" s="92"/>
      <c r="L160" s="92"/>
      <c r="M160" s="92"/>
      <c r="N160" s="92"/>
      <c r="O160" s="92"/>
    </row>
    <row r="161" spans="1:15" ht="15">
      <c r="A161" s="90"/>
      <c r="B161" s="100"/>
      <c r="C161" s="100"/>
      <c r="D161" s="90"/>
      <c r="E161" s="90"/>
      <c r="F161" s="90"/>
      <c r="G161" s="90"/>
      <c r="H161" s="90"/>
      <c r="I161" s="97"/>
      <c r="J161" s="97"/>
      <c r="K161" s="92"/>
      <c r="L161" s="92"/>
      <c r="M161" s="92"/>
      <c r="N161" s="92"/>
      <c r="O161" s="92"/>
    </row>
    <row r="162" spans="1:15" ht="15">
      <c r="A162" s="90"/>
      <c r="B162" s="100"/>
      <c r="C162" s="100"/>
      <c r="D162" s="90"/>
      <c r="E162" s="90"/>
      <c r="F162" s="90"/>
      <c r="G162" s="90"/>
      <c r="H162" s="90"/>
      <c r="I162" s="97"/>
      <c r="J162" s="97"/>
      <c r="K162" s="92"/>
      <c r="L162" s="92"/>
      <c r="M162" s="92"/>
      <c r="N162" s="92"/>
      <c r="O162" s="92"/>
    </row>
    <row r="163" spans="1:15" ht="15">
      <c r="A163" s="90"/>
      <c r="B163" s="100"/>
      <c r="C163" s="100"/>
      <c r="D163" s="90"/>
      <c r="E163" s="90"/>
      <c r="F163" s="90"/>
      <c r="G163" s="90"/>
      <c r="H163" s="90"/>
      <c r="I163" s="97"/>
      <c r="J163" s="97"/>
      <c r="K163" s="92"/>
      <c r="L163" s="92"/>
      <c r="M163" s="92"/>
      <c r="N163" s="92"/>
      <c r="O163" s="92"/>
    </row>
    <row r="164" spans="1:15" ht="15">
      <c r="A164" s="90"/>
      <c r="B164" s="100"/>
      <c r="C164" s="100"/>
      <c r="D164" s="90"/>
      <c r="E164" s="90"/>
      <c r="F164" s="90"/>
      <c r="G164" s="90"/>
      <c r="H164" s="90"/>
      <c r="I164" s="97"/>
      <c r="J164" s="97"/>
      <c r="K164" s="92"/>
      <c r="L164" s="92"/>
      <c r="M164" s="92"/>
      <c r="N164" s="92"/>
      <c r="O164" s="92"/>
    </row>
    <row r="165" spans="1:15" ht="15">
      <c r="A165" s="90"/>
      <c r="B165" s="100"/>
      <c r="C165" s="100"/>
      <c r="D165" s="90"/>
      <c r="E165" s="90"/>
      <c r="F165" s="90"/>
      <c r="G165" s="90"/>
      <c r="H165" s="90"/>
      <c r="I165" s="97"/>
      <c r="J165" s="97"/>
      <c r="K165" s="92"/>
      <c r="L165" s="92"/>
      <c r="M165" s="92"/>
      <c r="N165" s="92"/>
      <c r="O165" s="92"/>
    </row>
    <row r="166" spans="1:15" ht="15">
      <c r="A166" s="90"/>
      <c r="B166" s="100"/>
      <c r="C166" s="100"/>
      <c r="D166" s="90"/>
      <c r="E166" s="90"/>
      <c r="F166" s="90"/>
      <c r="G166" s="90"/>
      <c r="H166" s="90"/>
      <c r="I166" s="97"/>
      <c r="J166" s="97"/>
      <c r="K166" s="92"/>
      <c r="L166" s="92"/>
      <c r="M166" s="92"/>
      <c r="N166" s="92"/>
      <c r="O166" s="92"/>
    </row>
    <row r="167" spans="1:15" ht="15">
      <c r="A167" s="90"/>
      <c r="B167" s="100"/>
      <c r="C167" s="100"/>
      <c r="D167" s="90"/>
      <c r="E167" s="90"/>
      <c r="F167" s="90"/>
      <c r="G167" s="90"/>
      <c r="H167" s="90"/>
      <c r="I167" s="97"/>
      <c r="J167" s="97"/>
      <c r="K167" s="92"/>
      <c r="L167" s="92"/>
      <c r="M167" s="92"/>
      <c r="N167" s="92"/>
      <c r="O167" s="92"/>
    </row>
    <row r="168" spans="1:15" ht="15">
      <c r="A168" s="90"/>
      <c r="B168" s="100"/>
      <c r="C168" s="100"/>
      <c r="D168" s="90"/>
      <c r="E168" s="90"/>
      <c r="F168" s="90"/>
      <c r="G168" s="90"/>
      <c r="H168" s="90"/>
      <c r="I168" s="97"/>
      <c r="J168" s="97"/>
      <c r="K168" s="92"/>
      <c r="L168" s="92"/>
      <c r="M168" s="92"/>
      <c r="N168" s="92"/>
      <c r="O168" s="92"/>
    </row>
    <row r="169" spans="1:15" ht="15">
      <c r="A169" s="90"/>
      <c r="B169" s="100"/>
      <c r="C169" s="100"/>
      <c r="D169" s="90"/>
      <c r="E169" s="90"/>
      <c r="F169" s="90"/>
      <c r="G169" s="90"/>
      <c r="H169" s="90"/>
      <c r="I169" s="97"/>
      <c r="J169" s="97"/>
      <c r="K169" s="92"/>
      <c r="L169" s="92"/>
      <c r="M169" s="92"/>
      <c r="N169" s="92"/>
      <c r="O169" s="92"/>
    </row>
    <row r="170" spans="1:15" ht="15">
      <c r="A170" s="90"/>
      <c r="B170" s="100"/>
      <c r="C170" s="100"/>
      <c r="D170" s="90"/>
      <c r="E170" s="90"/>
      <c r="F170" s="90"/>
      <c r="G170" s="90"/>
      <c r="H170" s="90"/>
      <c r="I170" s="97"/>
      <c r="J170" s="97"/>
      <c r="K170" s="92"/>
      <c r="L170" s="92"/>
      <c r="M170" s="92"/>
      <c r="N170" s="92"/>
      <c r="O170" s="92"/>
    </row>
    <row r="171" spans="1:15" ht="15">
      <c r="A171" s="90"/>
      <c r="B171" s="100"/>
      <c r="C171" s="100"/>
      <c r="D171" s="90"/>
      <c r="E171" s="90"/>
      <c r="F171" s="90"/>
      <c r="G171" s="90"/>
      <c r="H171" s="90"/>
      <c r="I171" s="97"/>
      <c r="J171" s="97"/>
      <c r="K171" s="92"/>
      <c r="L171" s="92"/>
      <c r="M171" s="92"/>
      <c r="N171" s="92"/>
      <c r="O171" s="92"/>
    </row>
    <row r="172" spans="1:15" ht="15">
      <c r="A172" s="90"/>
      <c r="B172" s="100"/>
      <c r="C172" s="100"/>
      <c r="D172" s="90"/>
      <c r="E172" s="90"/>
      <c r="F172" s="90"/>
      <c r="G172" s="90"/>
      <c r="H172" s="90"/>
      <c r="I172" s="97"/>
      <c r="J172" s="97"/>
      <c r="K172" s="92"/>
      <c r="L172" s="92"/>
      <c r="M172" s="92"/>
      <c r="N172" s="92"/>
      <c r="O172" s="92"/>
    </row>
    <row r="173" spans="1:15" ht="15">
      <c r="A173" s="90"/>
      <c r="B173" s="100"/>
      <c r="C173" s="100"/>
      <c r="D173" s="90"/>
      <c r="E173" s="90"/>
      <c r="F173" s="90"/>
      <c r="G173" s="90"/>
      <c r="H173" s="90"/>
      <c r="I173" s="97"/>
      <c r="J173" s="97"/>
      <c r="K173" s="92"/>
      <c r="L173" s="92"/>
      <c r="M173" s="92"/>
      <c r="N173" s="92"/>
      <c r="O173" s="92"/>
    </row>
    <row r="174" spans="1:15" ht="15">
      <c r="A174" s="90"/>
      <c r="B174" s="100"/>
      <c r="C174" s="100"/>
      <c r="D174" s="90"/>
      <c r="E174" s="90"/>
      <c r="F174" s="90"/>
      <c r="G174" s="90"/>
      <c r="H174" s="90"/>
      <c r="I174" s="97"/>
      <c r="J174" s="97"/>
      <c r="K174" s="92"/>
      <c r="L174" s="92"/>
      <c r="M174" s="92"/>
      <c r="N174" s="92"/>
      <c r="O174" s="92"/>
    </row>
    <row r="175" spans="1:15" ht="15">
      <c r="A175" s="90"/>
      <c r="B175" s="100"/>
      <c r="C175" s="100"/>
      <c r="D175" s="90"/>
      <c r="E175" s="90"/>
      <c r="F175" s="90"/>
      <c r="G175" s="90"/>
      <c r="H175" s="90"/>
      <c r="I175" s="97"/>
      <c r="J175" s="97"/>
      <c r="K175" s="92"/>
      <c r="L175" s="92"/>
      <c r="M175" s="92"/>
      <c r="N175" s="92"/>
      <c r="O175" s="92"/>
    </row>
    <row r="176" spans="1:15" ht="15">
      <c r="A176" s="90"/>
      <c r="B176" s="100"/>
      <c r="C176" s="100"/>
      <c r="D176" s="90"/>
      <c r="E176" s="90"/>
      <c r="F176" s="90"/>
      <c r="G176" s="90"/>
      <c r="H176" s="90"/>
      <c r="I176" s="97"/>
      <c r="J176" s="97"/>
      <c r="K176" s="92"/>
      <c r="L176" s="92"/>
      <c r="M176" s="92"/>
      <c r="N176" s="92"/>
      <c r="O176" s="92"/>
    </row>
    <row r="177" spans="1:15" ht="15">
      <c r="A177" s="90"/>
      <c r="B177" s="100"/>
      <c r="C177" s="100"/>
      <c r="D177" s="90"/>
      <c r="E177" s="90"/>
      <c r="F177" s="90"/>
      <c r="G177" s="90"/>
      <c r="H177" s="90"/>
      <c r="I177" s="97"/>
      <c r="J177" s="97"/>
      <c r="K177" s="92"/>
      <c r="L177" s="92"/>
      <c r="M177" s="92"/>
      <c r="N177" s="92"/>
      <c r="O177" s="92"/>
    </row>
    <row r="178" spans="1:15" ht="15">
      <c r="A178" s="90"/>
      <c r="B178" s="100"/>
      <c r="C178" s="100"/>
      <c r="D178" s="90"/>
      <c r="E178" s="90"/>
      <c r="F178" s="90"/>
      <c r="G178" s="90"/>
      <c r="H178" s="90"/>
      <c r="I178" s="97"/>
      <c r="J178" s="97"/>
      <c r="K178" s="92"/>
      <c r="L178" s="92"/>
      <c r="M178" s="92"/>
      <c r="N178" s="92"/>
      <c r="O178" s="92"/>
    </row>
    <row r="179" spans="1:15" ht="15">
      <c r="A179" s="90"/>
      <c r="B179" s="100"/>
      <c r="C179" s="100"/>
      <c r="D179" s="90"/>
      <c r="E179" s="90"/>
      <c r="F179" s="90"/>
      <c r="G179" s="90"/>
      <c r="H179" s="90"/>
      <c r="I179" s="97"/>
      <c r="J179" s="97"/>
      <c r="K179" s="92"/>
      <c r="L179" s="92"/>
      <c r="M179" s="92"/>
      <c r="N179" s="92"/>
      <c r="O179" s="92"/>
    </row>
    <row r="180" spans="1:15" ht="15">
      <c r="A180" s="90"/>
      <c r="B180" s="100"/>
      <c r="C180" s="100"/>
      <c r="D180" s="90"/>
      <c r="E180" s="90"/>
      <c r="F180" s="90"/>
      <c r="G180" s="90"/>
      <c r="H180" s="90"/>
      <c r="I180" s="97"/>
      <c r="J180" s="97"/>
      <c r="K180" s="92"/>
      <c r="L180" s="92"/>
      <c r="M180" s="92"/>
      <c r="N180" s="92"/>
      <c r="O180" s="92"/>
    </row>
    <row r="181" spans="1:15" ht="15">
      <c r="A181" s="90"/>
      <c r="B181" s="100"/>
      <c r="C181" s="100"/>
      <c r="D181" s="90"/>
      <c r="E181" s="90"/>
      <c r="F181" s="90"/>
      <c r="G181" s="90"/>
      <c r="H181" s="90"/>
      <c r="I181" s="97"/>
      <c r="J181" s="97"/>
      <c r="K181" s="92"/>
      <c r="L181" s="92"/>
      <c r="M181" s="92"/>
      <c r="N181" s="92"/>
      <c r="O181" s="92"/>
    </row>
    <row r="182" spans="1:15" ht="15">
      <c r="A182" s="90"/>
      <c r="B182" s="100"/>
      <c r="C182" s="100"/>
      <c r="D182" s="90"/>
      <c r="E182" s="90"/>
      <c r="F182" s="90"/>
      <c r="G182" s="90"/>
      <c r="H182" s="90"/>
      <c r="I182" s="97"/>
      <c r="J182" s="97"/>
      <c r="K182" s="92"/>
      <c r="L182" s="92"/>
      <c r="M182" s="92"/>
      <c r="N182" s="92"/>
      <c r="O182" s="92"/>
    </row>
    <row r="183" spans="1:15" ht="15">
      <c r="A183" s="90"/>
      <c r="B183" s="100"/>
      <c r="C183" s="100"/>
      <c r="D183" s="90"/>
      <c r="E183" s="90"/>
      <c r="F183" s="90"/>
      <c r="G183" s="90"/>
      <c r="H183" s="90"/>
      <c r="I183" s="97"/>
      <c r="J183" s="97"/>
      <c r="K183" s="92"/>
      <c r="L183" s="92"/>
      <c r="M183" s="92"/>
      <c r="N183" s="92"/>
      <c r="O183" s="92"/>
    </row>
    <row r="184" spans="1:15" ht="15">
      <c r="A184" s="90"/>
      <c r="B184" s="100"/>
      <c r="C184" s="100"/>
      <c r="D184" s="90"/>
      <c r="E184" s="90"/>
      <c r="F184" s="90"/>
      <c r="G184" s="90"/>
      <c r="H184" s="90"/>
      <c r="I184" s="97"/>
      <c r="J184" s="97"/>
      <c r="K184" s="92"/>
      <c r="L184" s="92"/>
      <c r="M184" s="92"/>
      <c r="N184" s="92"/>
      <c r="O184" s="92"/>
    </row>
    <row r="185" spans="1:15" ht="15">
      <c r="A185" s="90"/>
      <c r="B185" s="100"/>
      <c r="C185" s="100"/>
      <c r="D185" s="90"/>
      <c r="E185" s="90"/>
      <c r="F185" s="90"/>
      <c r="G185" s="90"/>
      <c r="H185" s="90"/>
      <c r="I185" s="97"/>
      <c r="J185" s="97"/>
      <c r="K185" s="92"/>
      <c r="L185" s="92"/>
      <c r="M185" s="92"/>
      <c r="N185" s="92"/>
      <c r="O185" s="92"/>
    </row>
    <row r="186" spans="1:15" ht="15">
      <c r="A186" s="90"/>
      <c r="B186" s="100"/>
      <c r="C186" s="100"/>
      <c r="D186" s="90"/>
      <c r="E186" s="90"/>
      <c r="F186" s="90"/>
      <c r="G186" s="90"/>
      <c r="H186" s="90"/>
      <c r="I186" s="97"/>
      <c r="J186" s="97"/>
      <c r="K186" s="92"/>
      <c r="L186" s="92"/>
      <c r="M186" s="92"/>
      <c r="N186" s="92"/>
      <c r="O186" s="92"/>
    </row>
    <row r="187" spans="1:15" ht="15">
      <c r="A187" s="90"/>
      <c r="B187" s="100"/>
      <c r="C187" s="100"/>
      <c r="D187" s="90"/>
      <c r="E187" s="90"/>
      <c r="F187" s="90"/>
      <c r="G187" s="90"/>
      <c r="H187" s="90"/>
      <c r="I187" s="97"/>
      <c r="J187" s="97"/>
      <c r="K187" s="92"/>
      <c r="L187" s="92"/>
      <c r="M187" s="92"/>
      <c r="N187" s="92"/>
      <c r="O187" s="92"/>
    </row>
    <row r="188" spans="1:15" ht="15">
      <c r="A188" s="90"/>
      <c r="B188" s="100"/>
      <c r="C188" s="100"/>
      <c r="D188" s="90"/>
      <c r="E188" s="90"/>
      <c r="F188" s="90"/>
      <c r="G188" s="90"/>
      <c r="H188" s="90"/>
      <c r="I188" s="97"/>
      <c r="J188" s="97"/>
      <c r="K188" s="92"/>
      <c r="L188" s="92"/>
      <c r="M188" s="92"/>
      <c r="N188" s="92"/>
      <c r="O188" s="92"/>
    </row>
    <row r="189" spans="1:15" ht="15">
      <c r="A189" s="90"/>
      <c r="B189" s="100"/>
      <c r="C189" s="100"/>
      <c r="D189" s="90"/>
      <c r="E189" s="90"/>
      <c r="F189" s="90"/>
      <c r="G189" s="90"/>
      <c r="H189" s="90"/>
      <c r="I189" s="97"/>
      <c r="J189" s="97"/>
      <c r="K189" s="92"/>
      <c r="L189" s="92"/>
      <c r="M189" s="92"/>
      <c r="N189" s="92"/>
      <c r="O189" s="92"/>
    </row>
    <row r="190" spans="1:15" ht="15">
      <c r="A190" s="90"/>
      <c r="B190" s="100"/>
      <c r="C190" s="100"/>
      <c r="D190" s="90"/>
      <c r="E190" s="90"/>
      <c r="F190" s="90"/>
      <c r="G190" s="90"/>
      <c r="H190" s="90"/>
      <c r="I190" s="97"/>
      <c r="J190" s="97"/>
      <c r="K190" s="92"/>
      <c r="L190" s="92"/>
      <c r="M190" s="92"/>
      <c r="N190" s="92"/>
      <c r="O190" s="92"/>
    </row>
    <row r="191" spans="1:15" ht="15">
      <c r="A191" s="90"/>
      <c r="B191" s="100"/>
      <c r="C191" s="100"/>
      <c r="D191" s="90"/>
      <c r="E191" s="90"/>
      <c r="F191" s="90"/>
      <c r="G191" s="90"/>
      <c r="H191" s="90"/>
      <c r="I191" s="97"/>
      <c r="J191" s="97"/>
      <c r="K191" s="92"/>
      <c r="L191" s="92"/>
      <c r="M191" s="92"/>
      <c r="N191" s="92"/>
      <c r="O191" s="92"/>
    </row>
    <row r="192" spans="1:15" ht="15">
      <c r="A192" s="90"/>
      <c r="B192" s="100"/>
      <c r="C192" s="100"/>
      <c r="D192" s="90"/>
      <c r="E192" s="90"/>
      <c r="F192" s="90"/>
      <c r="G192" s="90"/>
      <c r="H192" s="90"/>
      <c r="I192" s="97"/>
      <c r="J192" s="97"/>
      <c r="K192" s="92"/>
      <c r="L192" s="92"/>
      <c r="M192" s="92"/>
      <c r="N192" s="92"/>
      <c r="O192" s="92"/>
    </row>
    <row r="193" spans="1:15" ht="15">
      <c r="A193" s="90"/>
      <c r="B193" s="100"/>
      <c r="C193" s="100"/>
      <c r="D193" s="90"/>
      <c r="E193" s="90"/>
      <c r="F193" s="90"/>
      <c r="G193" s="90"/>
      <c r="H193" s="90"/>
      <c r="I193" s="97"/>
      <c r="J193" s="97"/>
      <c r="K193" s="92"/>
      <c r="L193" s="92"/>
      <c r="M193" s="92"/>
      <c r="N193" s="92"/>
      <c r="O193" s="92"/>
    </row>
    <row r="194" spans="1:15" ht="15">
      <c r="A194" s="90"/>
      <c r="B194" s="100"/>
      <c r="C194" s="100"/>
      <c r="D194" s="90"/>
      <c r="E194" s="90"/>
      <c r="F194" s="90"/>
      <c r="G194" s="90"/>
      <c r="H194" s="90"/>
      <c r="I194" s="97"/>
      <c r="J194" s="97"/>
      <c r="K194" s="92"/>
      <c r="L194" s="92"/>
      <c r="M194" s="92"/>
      <c r="N194" s="92"/>
      <c r="O194" s="92"/>
    </row>
    <row r="195" spans="1:15" ht="15">
      <c r="A195" s="90"/>
      <c r="B195" s="100"/>
      <c r="C195" s="100"/>
      <c r="D195" s="90"/>
      <c r="E195" s="90"/>
      <c r="F195" s="90"/>
      <c r="G195" s="90"/>
      <c r="H195" s="90"/>
      <c r="I195" s="97"/>
      <c r="J195" s="97"/>
      <c r="K195" s="92"/>
      <c r="L195" s="92"/>
      <c r="M195" s="92"/>
      <c r="N195" s="92"/>
      <c r="O195" s="92"/>
    </row>
    <row r="196" spans="1:15" ht="15">
      <c r="A196" s="90"/>
      <c r="B196" s="100"/>
      <c r="C196" s="100"/>
      <c r="D196" s="90"/>
      <c r="E196" s="90"/>
      <c r="F196" s="90"/>
      <c r="G196" s="90"/>
      <c r="H196" s="90"/>
      <c r="I196" s="97"/>
      <c r="J196" s="97"/>
      <c r="K196" s="92"/>
      <c r="L196" s="92"/>
      <c r="M196" s="92"/>
      <c r="N196" s="92"/>
      <c r="O196" s="92"/>
    </row>
    <row r="197" spans="1:15" ht="15">
      <c r="A197" s="90"/>
      <c r="B197" s="100"/>
      <c r="C197" s="100"/>
      <c r="D197" s="90"/>
      <c r="E197" s="90"/>
      <c r="F197" s="90"/>
      <c r="G197" s="90"/>
      <c r="H197" s="90"/>
      <c r="I197" s="97"/>
      <c r="J197" s="97"/>
      <c r="K197" s="92"/>
      <c r="L197" s="92"/>
      <c r="M197" s="92"/>
      <c r="N197" s="92"/>
      <c r="O197" s="92"/>
    </row>
    <row r="198" spans="1:15" ht="15">
      <c r="A198" s="90"/>
      <c r="B198" s="100"/>
      <c r="C198" s="100"/>
      <c r="D198" s="90"/>
      <c r="E198" s="90"/>
      <c r="F198" s="90"/>
      <c r="G198" s="90"/>
      <c r="H198" s="90"/>
      <c r="I198" s="97"/>
      <c r="J198" s="97"/>
      <c r="K198" s="92"/>
      <c r="L198" s="92"/>
      <c r="M198" s="92"/>
      <c r="N198" s="92"/>
      <c r="O198" s="92"/>
    </row>
    <row r="199" spans="1:15" ht="15">
      <c r="A199" s="90"/>
      <c r="B199" s="100"/>
      <c r="C199" s="100"/>
      <c r="D199" s="90"/>
      <c r="E199" s="90"/>
      <c r="F199" s="90"/>
      <c r="G199" s="90"/>
      <c r="H199" s="90"/>
      <c r="I199" s="97"/>
      <c r="J199" s="97"/>
      <c r="K199" s="92"/>
      <c r="L199" s="92"/>
      <c r="M199" s="92"/>
      <c r="N199" s="92"/>
      <c r="O199" s="92"/>
    </row>
    <row r="200" spans="1:15" ht="15">
      <c r="A200" s="90"/>
      <c r="B200" s="100"/>
      <c r="C200" s="100"/>
      <c r="D200" s="90"/>
      <c r="E200" s="90"/>
      <c r="F200" s="90"/>
      <c r="G200" s="90"/>
      <c r="H200" s="90"/>
      <c r="I200" s="97"/>
      <c r="J200" s="97"/>
      <c r="K200" s="92"/>
      <c r="L200" s="92"/>
      <c r="M200" s="92"/>
      <c r="N200" s="92"/>
      <c r="O200" s="92"/>
    </row>
    <row r="201" spans="1:15" ht="15">
      <c r="A201" s="90"/>
      <c r="B201" s="100"/>
      <c r="J201" s="97"/>
      <c r="K201" s="92"/>
      <c r="L201" s="92"/>
      <c r="M201" s="92"/>
      <c r="N201" s="92"/>
      <c r="O201" s="92"/>
    </row>
    <row r="202" spans="1:15" ht="15">
      <c r="A202" s="90"/>
      <c r="B202" s="100"/>
      <c r="J202" s="97"/>
      <c r="K202" s="92"/>
      <c r="L202" s="92"/>
      <c r="M202" s="92"/>
      <c r="N202" s="92"/>
      <c r="O202" s="92"/>
    </row>
    <row r="203" spans="1:15" ht="15">
      <c r="A203" s="90"/>
      <c r="B203" s="100"/>
      <c r="J203" s="97"/>
      <c r="K203" s="92"/>
      <c r="L203" s="92"/>
      <c r="M203" s="92"/>
      <c r="N203" s="92"/>
      <c r="O203" s="92"/>
    </row>
  </sheetData>
  <sheetProtection algorithmName="SHA-512" hashValue="DsInhtyLMNnrb0njulz/1zqxSZVCVU3yJE90vGwHacR9SLfu5iqvrAfFGlQcxHMMtQNs0DEEUxQPWQXrLYDk5A==" saltValue="V6+sOCtPVmnCCGAEIZOyjw==" spinCount="100000" sheet="1" objects="1" scenarios="1"/>
  <protectedRanges>
    <protectedRange sqref="B12:C12 C4 A4 A10:A11" name="Intervalo1"/>
    <protectedRange sqref="A13:A20" name="Intervalo1_1"/>
  </protectedRanges>
  <mergeCells count="73">
    <mergeCell ref="F39:K39"/>
    <mergeCell ref="F40:K40"/>
    <mergeCell ref="A28:C28"/>
    <mergeCell ref="F28:K28"/>
    <mergeCell ref="F35:K35"/>
    <mergeCell ref="F36:K36"/>
    <mergeCell ref="F37:K37"/>
    <mergeCell ref="F38:K38"/>
    <mergeCell ref="F29:K29"/>
    <mergeCell ref="F30:K30"/>
    <mergeCell ref="F31:K31"/>
    <mergeCell ref="F32:K32"/>
    <mergeCell ref="A38:C38"/>
    <mergeCell ref="A39:C39"/>
    <mergeCell ref="A40:C40"/>
    <mergeCell ref="A13:K13"/>
    <mergeCell ref="F15:K15"/>
    <mergeCell ref="F16:K16"/>
    <mergeCell ref="F17:K17"/>
    <mergeCell ref="F18:K18"/>
    <mergeCell ref="A14:C14"/>
    <mergeCell ref="F14:K14"/>
    <mergeCell ref="A16:C16"/>
    <mergeCell ref="A18:C18"/>
    <mergeCell ref="A17:C17"/>
    <mergeCell ref="F22:K22"/>
    <mergeCell ref="F23:K23"/>
    <mergeCell ref="A35:C35"/>
    <mergeCell ref="A36:C36"/>
    <mergeCell ref="A37:C37"/>
    <mergeCell ref="A33:K33"/>
    <mergeCell ref="A34:K34"/>
    <mergeCell ref="F24:K24"/>
    <mergeCell ref="F25:K25"/>
    <mergeCell ref="F26:K26"/>
    <mergeCell ref="F27:K27"/>
    <mergeCell ref="A24:C24"/>
    <mergeCell ref="A19:C19"/>
    <mergeCell ref="F19:K19"/>
    <mergeCell ref="F20:K20"/>
    <mergeCell ref="F21:K21"/>
    <mergeCell ref="A21:C21"/>
    <mergeCell ref="A20:C20"/>
    <mergeCell ref="A1:K1"/>
    <mergeCell ref="A15:C15"/>
    <mergeCell ref="A32:C32"/>
    <mergeCell ref="A31:C31"/>
    <mergeCell ref="A30:C30"/>
    <mergeCell ref="A29:C29"/>
    <mergeCell ref="A27:C27"/>
    <mergeCell ref="A26:C26"/>
    <mergeCell ref="A22:C22"/>
    <mergeCell ref="A23:C23"/>
    <mergeCell ref="A25:C25"/>
    <mergeCell ref="A4:B4"/>
    <mergeCell ref="A12:K12"/>
    <mergeCell ref="A11:J11"/>
    <mergeCell ref="A3:K3"/>
    <mergeCell ref="A10:J10"/>
    <mergeCell ref="A62:I62"/>
    <mergeCell ref="D42:G42"/>
    <mergeCell ref="A45:A50"/>
    <mergeCell ref="B45:B50"/>
    <mergeCell ref="J45:J50"/>
    <mergeCell ref="A51:A55"/>
    <mergeCell ref="B51:B55"/>
    <mergeCell ref="J51:J55"/>
    <mergeCell ref="J43:J44"/>
    <mergeCell ref="J56:J61"/>
    <mergeCell ref="B56:B61"/>
    <mergeCell ref="A56:A61"/>
    <mergeCell ref="A43:A44"/>
    <mergeCell ref="B43:B44"/>
  </mergeCells>
  <phoneticPr fontId="17" type="noConversion"/>
  <conditionalFormatting sqref="L18:N18">
    <cfRule type="expression" dxfId="24" priority="1">
      <formula>CELL("proteger",L18)=1</formula>
    </cfRule>
  </conditionalFormatting>
  <printOptions horizontalCentered="1"/>
  <pageMargins left="0.39370078740157483" right="0.39370078740157483" top="1.1811023622047245" bottom="0.78740157480314965" header="0.19685039370078741" footer="0.19685039370078741"/>
  <pageSetup paperSize="9" scale="65" fitToHeight="0" orientation="portrait" r:id="rId1"/>
  <headerFooter scaleWithDoc="0"/>
  <drawing r:id="rId2"/>
  <legacyDrawing r:id="rId3"/>
  <legacyDrawingHF r:id="rId4"/>
  <oleObjects>
    <mc:AlternateContent xmlns:mc="http://schemas.openxmlformats.org/markup-compatibility/2006">
      <mc:Choice Requires="x14">
        <oleObject progId="CorelDraw.Graphic.18" shapeId="19457" r:id="rId5">
          <objectPr defaultSize="0" autoPict="0" r:id="rId6">
            <anchor moveWithCells="1">
              <from>
                <xdr:col>1</xdr:col>
                <xdr:colOff>571500</xdr:colOff>
                <xdr:row>0</xdr:row>
                <xdr:rowOff>85725</xdr:rowOff>
              </from>
              <to>
                <xdr:col>2</xdr:col>
                <xdr:colOff>704850</xdr:colOff>
                <xdr:row>0</xdr:row>
                <xdr:rowOff>619125</xdr:rowOff>
              </to>
            </anchor>
          </objectPr>
        </oleObject>
      </mc:Choice>
      <mc:Fallback>
        <oleObject progId="CorelDraw.Graphic.18" shapeId="19457" r:id="rId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49AA-1FC9-4F53-A3C2-658A831C85E7}">
  <sheetPr>
    <tabColor theme="1" tint="0.249977111117893"/>
    <pageSetUpPr fitToPage="1"/>
  </sheetPr>
  <dimension ref="A1:Q137"/>
  <sheetViews>
    <sheetView showGridLines="0" view="pageBreakPreview" zoomScaleNormal="100" zoomScaleSheetLayoutView="100" workbookViewId="0">
      <selection activeCell="L6" sqref="L6"/>
    </sheetView>
  </sheetViews>
  <sheetFormatPr defaultRowHeight="14.25"/>
  <cols>
    <col min="1" max="1" width="35.375" bestFit="1" customWidth="1"/>
    <col min="2" max="2" width="12" style="42" bestFit="1" customWidth="1"/>
    <col min="3" max="3" width="12.5" style="42" customWidth="1"/>
    <col min="4" max="4" width="15.5" style="42" bestFit="1" customWidth="1"/>
    <col min="5" max="5" width="14.25" style="42" customWidth="1"/>
    <col min="6" max="6" width="16.875" style="42" bestFit="1" customWidth="1"/>
    <col min="7" max="7" width="12.25" style="42" customWidth="1"/>
    <col min="8" max="8" width="11.125" style="44" bestFit="1" customWidth="1"/>
    <col min="9" max="9" width="14.25" style="42" customWidth="1"/>
    <col min="10" max="10" width="11.375" style="42" bestFit="1" customWidth="1"/>
    <col min="11" max="11" width="11" style="42" customWidth="1"/>
    <col min="12" max="12" width="50.625" style="34" bestFit="1" customWidth="1"/>
    <col min="13" max="13" width="13.625" style="34" bestFit="1" customWidth="1"/>
    <col min="14" max="14" width="36.25" style="34" customWidth="1"/>
  </cols>
  <sheetData>
    <row r="1" spans="1:17" s="1" customFormat="1" ht="57.75" customHeight="1">
      <c r="A1" s="940" t="s">
        <v>128</v>
      </c>
      <c r="B1" s="940"/>
      <c r="C1" s="940"/>
      <c r="D1" s="940"/>
      <c r="E1" s="940"/>
      <c r="F1" s="940"/>
      <c r="G1" s="940"/>
      <c r="H1" s="940"/>
      <c r="I1" s="940"/>
      <c r="J1" s="940"/>
      <c r="K1" s="940"/>
      <c r="L1" s="449"/>
      <c r="M1" s="449"/>
      <c r="N1" s="361"/>
      <c r="O1" s="361"/>
      <c r="P1" s="361"/>
      <c r="Q1" s="92"/>
    </row>
    <row r="2" spans="1:17" s="1" customFormat="1" ht="7.9" customHeight="1">
      <c r="A2" s="450"/>
      <c r="B2" s="450"/>
      <c r="C2" s="450"/>
      <c r="D2" s="450"/>
      <c r="E2" s="450"/>
      <c r="F2" s="450"/>
      <c r="G2" s="450"/>
      <c r="H2" s="450"/>
      <c r="I2" s="450"/>
      <c r="J2" s="361"/>
      <c r="K2" s="361"/>
      <c r="L2" s="355"/>
      <c r="M2" s="355"/>
      <c r="N2" s="358"/>
      <c r="O2" s="358"/>
      <c r="P2" s="358"/>
      <c r="Q2" s="92"/>
    </row>
    <row r="3" spans="1:17" s="1" customFormat="1" ht="21.6" customHeight="1" thickBot="1">
      <c r="A3" s="941" t="s">
        <v>461</v>
      </c>
      <c r="B3" s="941"/>
      <c r="C3" s="941"/>
      <c r="D3" s="941"/>
      <c r="E3" s="941"/>
      <c r="F3" s="941"/>
      <c r="G3" s="941"/>
      <c r="H3" s="941"/>
      <c r="I3" s="941"/>
      <c r="J3" s="941"/>
      <c r="K3" s="941"/>
      <c r="L3" s="451"/>
      <c r="M3" s="451"/>
      <c r="N3" s="452"/>
      <c r="O3" s="358"/>
      <c r="P3" s="358"/>
      <c r="Q3" s="94"/>
    </row>
    <row r="4" spans="1:17" ht="60.75" thickBot="1">
      <c r="A4" s="453" t="s">
        <v>491</v>
      </c>
      <c r="B4" s="454" t="s">
        <v>475</v>
      </c>
      <c r="C4" s="454" t="s">
        <v>476</v>
      </c>
      <c r="D4" s="454" t="s">
        <v>129</v>
      </c>
      <c r="E4" s="454" t="s">
        <v>130</v>
      </c>
      <c r="F4" s="454" t="s">
        <v>467</v>
      </c>
      <c r="G4" s="455" t="s">
        <v>504</v>
      </c>
      <c r="H4" s="454" t="s">
        <v>483</v>
      </c>
      <c r="I4" s="454" t="s">
        <v>471</v>
      </c>
      <c r="J4" s="454" t="s">
        <v>472</v>
      </c>
      <c r="K4" s="456" t="s">
        <v>473</v>
      </c>
      <c r="L4" s="361"/>
      <c r="M4" s="361"/>
      <c r="N4" s="457"/>
      <c r="O4" s="606"/>
      <c r="P4" s="361"/>
      <c r="Q4" s="94"/>
    </row>
    <row r="5" spans="1:17" ht="15.75" thickBot="1">
      <c r="A5" s="915"/>
      <c r="B5" s="916"/>
      <c r="C5" s="916"/>
      <c r="D5" s="916"/>
      <c r="E5" s="916"/>
      <c r="F5" s="916"/>
      <c r="G5" s="916"/>
      <c r="H5" s="916"/>
      <c r="I5" s="916"/>
      <c r="J5" s="916"/>
      <c r="K5" s="917"/>
      <c r="L5" s="361" t="s">
        <v>155</v>
      </c>
      <c r="M5" s="361">
        <v>80.180000000000007</v>
      </c>
      <c r="N5" s="361" t="s">
        <v>163</v>
      </c>
      <c r="O5" s="607"/>
      <c r="P5" s="361"/>
      <c r="Q5" s="94"/>
    </row>
    <row r="6" spans="1:17" ht="15">
      <c r="A6" s="458" t="s">
        <v>143</v>
      </c>
      <c r="B6" s="459">
        <v>31</v>
      </c>
      <c r="C6" s="459">
        <v>0.4</v>
      </c>
      <c r="D6" s="460">
        <f t="shared" ref="D6:D15" si="0">B6*C6/1000</f>
        <v>1.24E-2</v>
      </c>
      <c r="E6" s="460" t="s">
        <v>108</v>
      </c>
      <c r="F6" s="948" t="s">
        <v>468</v>
      </c>
      <c r="G6" s="461">
        <v>1</v>
      </c>
      <c r="H6" s="460">
        <f>D6*7/G6</f>
        <v>8.6800000000000002E-2</v>
      </c>
      <c r="I6" s="955">
        <f>SUM(M5:M9)</f>
        <v>192.49</v>
      </c>
      <c r="J6" s="462">
        <f>TRUNC((547.6627+223.0718+240.9943+414.087+157.385)/1000,2)</f>
        <v>1.58</v>
      </c>
      <c r="K6" s="943">
        <f>TRUNC(SUM(I6:J9)*semanas_mês,2)</f>
        <v>904.4</v>
      </c>
      <c r="L6" s="361" t="s">
        <v>156</v>
      </c>
      <c r="M6" s="361">
        <f>19.98</f>
        <v>19.98</v>
      </c>
      <c r="N6" s="361" t="s">
        <v>163</v>
      </c>
      <c r="O6" s="935"/>
      <c r="P6" s="942"/>
      <c r="Q6" s="94"/>
    </row>
    <row r="7" spans="1:17" ht="15">
      <c r="A7" s="463" t="s">
        <v>144</v>
      </c>
      <c r="B7" s="464">
        <v>83</v>
      </c>
      <c r="C7" s="464">
        <v>0.4</v>
      </c>
      <c r="D7" s="465">
        <f t="shared" si="0"/>
        <v>3.32E-2</v>
      </c>
      <c r="E7" s="465" t="s">
        <v>108</v>
      </c>
      <c r="F7" s="949"/>
      <c r="G7" s="466">
        <v>1</v>
      </c>
      <c r="H7" s="465">
        <f>D7*7/G7</f>
        <v>0.2324</v>
      </c>
      <c r="I7" s="956"/>
      <c r="J7" s="467">
        <f>TRUNC((329.6749+392.6611+208.6037+324.8778+388.453+231.9752+117.4735+72.6076+98.4556+79.2825+238.4797+476.158+244.5891+274.0927+178.2414+60.5258+66.9605+112.698+66.393+99.6856+65.4951+128.9849+293.0068+84.8813+87.8758+77.2199+57.0675+220.6685+125.9145+44.9712+70.7343+109.6574+63.3961+78.5337+153.3861+299.3046+318.6273+202.0771+40.9296+103.9526+256.0989+234.9524+210.1928+126.7382+63.3768+52.2965+95.3354+120.5837+346.2703+58.3662+42.739+229.2822+157.4954+65.0551+47.2989+51.8752+43.1557+38.5234+39.1667)/1000,2)</f>
        <v>8.9600000000000009</v>
      </c>
      <c r="K7" s="944"/>
      <c r="L7" s="361" t="s">
        <v>152</v>
      </c>
      <c r="M7" s="361">
        <v>26.67</v>
      </c>
      <c r="N7" s="361" t="s">
        <v>163</v>
      </c>
      <c r="O7" s="935"/>
      <c r="P7" s="942"/>
      <c r="Q7" s="94"/>
    </row>
    <row r="8" spans="1:17" ht="15">
      <c r="A8" s="463" t="s">
        <v>145</v>
      </c>
      <c r="B8" s="464">
        <v>94</v>
      </c>
      <c r="C8" s="464">
        <v>0.4</v>
      </c>
      <c r="D8" s="465">
        <f t="shared" si="0"/>
        <v>3.7600000000000001E-2</v>
      </c>
      <c r="E8" s="465" t="s">
        <v>108</v>
      </c>
      <c r="F8" s="949"/>
      <c r="G8" s="466">
        <v>1</v>
      </c>
      <c r="H8" s="465">
        <f t="shared" ref="H8:H10" si="1">D8*7/G8</f>
        <v>0.26319999999999999</v>
      </c>
      <c r="I8" s="956"/>
      <c r="J8" s="467">
        <f>TRUNC((178.5954+159.9049+179.9325+349.6126+421.7382+63.9757+77.0302+208.4208+282.3724+75.6872+160.2682+141.1358+241.7195+62.5761+65.8518+147.8132+63.6465+71.7555+72.2875+165.698+161.2041+104.3407+80.1953+334.4507)/1000,2)</f>
        <v>3.87</v>
      </c>
      <c r="K8" s="944"/>
      <c r="L8" s="361" t="s">
        <v>153</v>
      </c>
      <c r="M8" s="361">
        <v>21.17</v>
      </c>
      <c r="N8" s="361" t="s">
        <v>163</v>
      </c>
      <c r="O8" s="935"/>
      <c r="P8" s="942"/>
      <c r="Q8" s="94"/>
    </row>
    <row r="9" spans="1:17" ht="15.75" thickBot="1">
      <c r="A9" s="468" t="s">
        <v>146</v>
      </c>
      <c r="B9" s="469">
        <v>85</v>
      </c>
      <c r="C9" s="469">
        <v>0.4</v>
      </c>
      <c r="D9" s="470">
        <f t="shared" si="0"/>
        <v>3.4000000000000002E-2</v>
      </c>
      <c r="E9" s="470" t="s">
        <v>108</v>
      </c>
      <c r="F9" s="950"/>
      <c r="G9" s="471">
        <v>1</v>
      </c>
      <c r="H9" s="470">
        <f t="shared" si="1"/>
        <v>0.23800000000000002</v>
      </c>
      <c r="I9" s="957"/>
      <c r="J9" s="472">
        <f>TRUNC((384+456+404)/1000,2)</f>
        <v>1.24</v>
      </c>
      <c r="K9" s="945"/>
      <c r="L9" s="361" t="s">
        <v>154</v>
      </c>
      <c r="M9" s="361">
        <v>44.49</v>
      </c>
      <c r="N9" s="361" t="s">
        <v>163</v>
      </c>
      <c r="O9" s="935"/>
      <c r="P9" s="942"/>
      <c r="Q9" s="94"/>
    </row>
    <row r="10" spans="1:17" ht="15.75" thickBot="1">
      <c r="A10" s="473" t="s">
        <v>560</v>
      </c>
      <c r="B10" s="474">
        <v>430</v>
      </c>
      <c r="C10" s="475">
        <v>0.4</v>
      </c>
      <c r="D10" s="476">
        <f t="shared" si="0"/>
        <v>0.17199999999999999</v>
      </c>
      <c r="E10" s="476" t="s">
        <v>108</v>
      </c>
      <c r="F10" s="476" t="s">
        <v>469</v>
      </c>
      <c r="G10" s="477">
        <v>1</v>
      </c>
      <c r="H10" s="476">
        <f t="shared" si="1"/>
        <v>1.204</v>
      </c>
      <c r="I10" s="478">
        <f>M10</f>
        <v>62.48</v>
      </c>
      <c r="J10" s="479">
        <f>TRUNC((167.0977+190.6254+67.3808+355.8516+180.9915+341.6387+138.3613+114.2328+136.241+63.7545+79.9805+117.4679+31.5908)/1000,2)</f>
        <v>1.98</v>
      </c>
      <c r="K10" s="480">
        <f>TRUNC((I10+J10)*semanas_mês,2)</f>
        <v>280.08999999999997</v>
      </c>
      <c r="L10" s="361" t="s">
        <v>157</v>
      </c>
      <c r="M10" s="361">
        <f>31.24*2</f>
        <v>62.48</v>
      </c>
      <c r="N10" s="361" t="s">
        <v>163</v>
      </c>
      <c r="O10" s="607"/>
      <c r="P10" s="361"/>
      <c r="Q10" s="94"/>
    </row>
    <row r="11" spans="1:17" s="51" customFormat="1" ht="15">
      <c r="A11" s="458" t="s">
        <v>148</v>
      </c>
      <c r="B11" s="459">
        <v>248</v>
      </c>
      <c r="C11" s="459">
        <v>0.4</v>
      </c>
      <c r="D11" s="460">
        <f t="shared" si="0"/>
        <v>9.9199999999999997E-2</v>
      </c>
      <c r="E11" s="460" t="s">
        <v>108</v>
      </c>
      <c r="F11" s="948" t="s">
        <v>482</v>
      </c>
      <c r="G11" s="461">
        <v>1</v>
      </c>
      <c r="H11" s="460">
        <f>D11*7/G11</f>
        <v>0.69440000000000002</v>
      </c>
      <c r="I11" s="953">
        <f>M11+M12+M13</f>
        <v>158.70999999999998</v>
      </c>
      <c r="J11" s="462">
        <f>TRUNC((504.365+510.995+148.9538+310.5371+573.9657+478.6505+132.0523+203.2416+342.6082+124.4692+165.6518+315.0874+81.3539+418.8149+137.3156+170.3001)/1000,2)</f>
        <v>4.6100000000000003</v>
      </c>
      <c r="K11" s="943">
        <f>TRUNC((I11+J11+J12)*semanas_mês,2)</f>
        <v>721.43</v>
      </c>
      <c r="L11" s="361" t="s">
        <v>159</v>
      </c>
      <c r="M11" s="361">
        <f>43.96</f>
        <v>43.96</v>
      </c>
      <c r="N11" s="361" t="s">
        <v>163</v>
      </c>
      <c r="O11" s="935"/>
      <c r="P11" s="942"/>
      <c r="Q11" s="94"/>
    </row>
    <row r="12" spans="1:17" s="51" customFormat="1" ht="15.75" thickBot="1">
      <c r="A12" s="468" t="s">
        <v>149</v>
      </c>
      <c r="B12" s="469">
        <v>100</v>
      </c>
      <c r="C12" s="469">
        <v>0.4</v>
      </c>
      <c r="D12" s="470">
        <f t="shared" si="0"/>
        <v>0.04</v>
      </c>
      <c r="E12" s="470" t="s">
        <v>108</v>
      </c>
      <c r="F12" s="950"/>
      <c r="G12" s="471">
        <v>1</v>
      </c>
      <c r="H12" s="470">
        <f>D12*7/G12</f>
        <v>0.28000000000000003</v>
      </c>
      <c r="I12" s="954"/>
      <c r="J12" s="481">
        <f>TRUNC((64.9874+120.7614+77.1486+54.87+348.6535+328.0929+158.4423+80.0037+415.7722+64.6138+75.4928+110.2133+28.5372+41.7308+99.5867+21.3343+217.9852+115.9394+172.6268+121.2654)/1000,2)</f>
        <v>2.71</v>
      </c>
      <c r="K12" s="945">
        <f>J12*semanas_mês*G12</f>
        <v>11.775492</v>
      </c>
      <c r="L12" s="361" t="s">
        <v>160</v>
      </c>
      <c r="M12" s="361">
        <v>46.11</v>
      </c>
      <c r="N12" s="361" t="s">
        <v>163</v>
      </c>
      <c r="O12" s="935"/>
      <c r="P12" s="942"/>
      <c r="Q12" s="94"/>
    </row>
    <row r="13" spans="1:17" ht="15">
      <c r="A13" s="482" t="s">
        <v>150</v>
      </c>
      <c r="B13" s="483">
        <v>124</v>
      </c>
      <c r="C13" s="483">
        <v>0.4</v>
      </c>
      <c r="D13" s="484">
        <f t="shared" si="0"/>
        <v>4.9599999999999998E-2</v>
      </c>
      <c r="E13" s="484" t="s">
        <v>108</v>
      </c>
      <c r="F13" s="951" t="s">
        <v>480</v>
      </c>
      <c r="G13" s="485">
        <v>1</v>
      </c>
      <c r="H13" s="484">
        <f>D13*7/G13</f>
        <v>0.34720000000000001</v>
      </c>
      <c r="I13" s="958">
        <f>M14</f>
        <v>143.78</v>
      </c>
      <c r="J13" s="486">
        <f>TRUNC((487.1874+353.8255+502.6481+107.38+155.2264+112.4069+122.5249+203.1734+151.4924)/1000,2)</f>
        <v>2.19</v>
      </c>
      <c r="K13" s="946">
        <f>TRUNC((I13+J13+J14)*semanas_mês,2)</f>
        <v>673.76</v>
      </c>
      <c r="L13" s="361" t="s">
        <v>161</v>
      </c>
      <c r="M13" s="361">
        <v>68.64</v>
      </c>
      <c r="N13" s="361" t="s">
        <v>163</v>
      </c>
      <c r="O13" s="935"/>
      <c r="P13" s="942"/>
      <c r="Q13" s="94"/>
    </row>
    <row r="14" spans="1:17" ht="14.45" customHeight="1" thickBot="1">
      <c r="A14" s="487" t="s">
        <v>151</v>
      </c>
      <c r="B14" s="488">
        <v>647</v>
      </c>
      <c r="C14" s="488">
        <v>0.4</v>
      </c>
      <c r="D14" s="489">
        <f t="shared" si="0"/>
        <v>0.25880000000000003</v>
      </c>
      <c r="E14" s="489" t="s">
        <v>108</v>
      </c>
      <c r="F14" s="952"/>
      <c r="G14" s="490">
        <v>1</v>
      </c>
      <c r="H14" s="489">
        <f>D14*7/G14</f>
        <v>1.8116000000000003</v>
      </c>
      <c r="I14" s="959"/>
      <c r="J14" s="491">
        <f>TRUNC((224.8165+486.3327+251.6525+36.3866+68.3089+74.038+105.2744+146.7199+74.6157+65.4778+957.4031+265.401+288.0416+105.3378+92.0102+43.1801+75.8472+213.7011+56.7179+181.7461+52.9357+128.6892+114.2373+33.0413+141.5667+110.5129+109.0364+97.0936+109.0509+108.4644+1034.6661+158.7025+213.3771+122.269+411.3006+346.3247+340.857+43.6749+230.5576+41.538+364.6587+274.4067+216.1214+311.5316+172.0288)/1000,2)</f>
        <v>9.09</v>
      </c>
      <c r="K14" s="947">
        <f>J14*semanas_mês*G14</f>
        <v>39.497868000000004</v>
      </c>
      <c r="L14" s="361" t="s">
        <v>162</v>
      </c>
      <c r="M14" s="361">
        <f>71.89*2</f>
        <v>143.78</v>
      </c>
      <c r="N14" s="361" t="s">
        <v>163</v>
      </c>
      <c r="O14" s="935"/>
      <c r="P14" s="942"/>
      <c r="Q14" s="94"/>
    </row>
    <row r="15" spans="1:17" ht="15.75" thickBot="1">
      <c r="A15" s="492" t="s">
        <v>147</v>
      </c>
      <c r="B15" s="493">
        <v>60</v>
      </c>
      <c r="C15" s="493">
        <v>0.4</v>
      </c>
      <c r="D15" s="494">
        <f t="shared" si="0"/>
        <v>2.4E-2</v>
      </c>
      <c r="E15" s="494" t="s">
        <v>108</v>
      </c>
      <c r="F15" s="494" t="s">
        <v>481</v>
      </c>
      <c r="G15" s="495">
        <v>1</v>
      </c>
      <c r="H15" s="494">
        <f>D15*7/G15</f>
        <v>0.16800000000000001</v>
      </c>
      <c r="I15" s="496">
        <f>M15</f>
        <v>30.54</v>
      </c>
      <c r="J15" s="497">
        <f>TRUNC((368.9502+438.3344+577.5558+73.4363+92.2362)/1000,2)</f>
        <v>1.55</v>
      </c>
      <c r="K15" s="498">
        <f>TRUNC((I15+J15)*semanas_mês,2)</f>
        <v>139.43</v>
      </c>
      <c r="L15" s="361" t="s">
        <v>158</v>
      </c>
      <c r="M15" s="361">
        <f>15.27*2</f>
        <v>30.54</v>
      </c>
      <c r="N15" s="361" t="s">
        <v>163</v>
      </c>
      <c r="O15" s="607"/>
      <c r="P15" s="361"/>
      <c r="Q15" s="94"/>
    </row>
    <row r="16" spans="1:17" ht="15" customHeight="1" thickBot="1">
      <c r="A16" s="499"/>
      <c r="B16" s="500"/>
      <c r="C16" s="500"/>
      <c r="D16" s="500"/>
      <c r="E16" s="500"/>
      <c r="F16" s="500"/>
      <c r="G16" s="500"/>
      <c r="H16" s="501">
        <f>SUM(H6:H15)</f>
        <v>5.3256000000000006</v>
      </c>
      <c r="I16" s="500">
        <f>SUM(I6:I15)</f>
        <v>587.99999999999989</v>
      </c>
      <c r="J16" s="501">
        <f>SUM(J6:J15)</f>
        <v>37.78</v>
      </c>
      <c r="K16" s="500"/>
      <c r="L16" s="502"/>
      <c r="M16" s="361"/>
      <c r="N16" s="361"/>
      <c r="O16" s="361"/>
      <c r="P16" s="361"/>
      <c r="Q16" s="94"/>
    </row>
    <row r="17" spans="1:17" ht="15.75" thickBot="1">
      <c r="A17" s="918" t="s">
        <v>474</v>
      </c>
      <c r="B17" s="919"/>
      <c r="C17" s="919"/>
      <c r="D17" s="919"/>
      <c r="E17" s="919"/>
      <c r="F17" s="919"/>
      <c r="G17" s="919"/>
      <c r="H17" s="919"/>
      <c r="I17" s="503"/>
      <c r="J17" s="503"/>
      <c r="K17" s="504">
        <f>TRUNC(SUM(K6:K15),2)</f>
        <v>2770.38</v>
      </c>
      <c r="L17" s="505"/>
      <c r="M17" s="505"/>
      <c r="N17" s="505"/>
      <c r="O17" s="361"/>
      <c r="P17" s="361"/>
      <c r="Q17" s="94"/>
    </row>
    <row r="18" spans="1:17" ht="15.75" thickBot="1">
      <c r="A18" s="506"/>
      <c r="B18" s="500"/>
      <c r="C18" s="500"/>
      <c r="D18" s="507"/>
      <c r="E18" s="508"/>
      <c r="F18" s="500"/>
      <c r="G18" s="500"/>
      <c r="H18" s="509"/>
      <c r="I18" s="936"/>
      <c r="J18" s="936"/>
      <c r="K18" s="510"/>
      <c r="L18" s="505"/>
      <c r="M18" s="505"/>
      <c r="N18" s="505"/>
      <c r="O18" s="361"/>
      <c r="P18" s="361"/>
      <c r="Q18" s="94"/>
    </row>
    <row r="19" spans="1:17" s="51" customFormat="1" ht="21.75" thickBot="1">
      <c r="A19" s="937" t="s">
        <v>433</v>
      </c>
      <c r="B19" s="938"/>
      <c r="C19" s="938"/>
      <c r="D19" s="938"/>
      <c r="E19" s="938"/>
      <c r="F19" s="938"/>
      <c r="G19" s="938"/>
      <c r="H19" s="938"/>
      <c r="I19" s="938"/>
      <c r="J19" s="938"/>
      <c r="K19" s="939"/>
      <c r="L19" s="505"/>
      <c r="M19" s="505"/>
      <c r="N19" s="505"/>
      <c r="O19" s="361"/>
      <c r="P19" s="361"/>
      <c r="Q19" s="94"/>
    </row>
    <row r="20" spans="1:17" s="51" customFormat="1" ht="16.5" thickBot="1">
      <c r="A20" s="925" t="s">
        <v>365</v>
      </c>
      <c r="B20" s="926"/>
      <c r="C20" s="927"/>
      <c r="D20" s="511" t="s">
        <v>366</v>
      </c>
      <c r="E20" s="511" t="s">
        <v>10</v>
      </c>
      <c r="F20" s="928" t="s">
        <v>367</v>
      </c>
      <c r="G20" s="928"/>
      <c r="H20" s="928"/>
      <c r="I20" s="928"/>
      <c r="J20" s="928"/>
      <c r="K20" s="929"/>
      <c r="L20" s="505"/>
      <c r="M20" s="505"/>
      <c r="N20" s="505"/>
      <c r="O20" s="361"/>
      <c r="P20" s="361"/>
      <c r="Q20" s="94"/>
    </row>
    <row r="21" spans="1:17" s="51" customFormat="1" ht="15">
      <c r="A21" s="930" t="s">
        <v>460</v>
      </c>
      <c r="B21" s="931"/>
      <c r="C21" s="932"/>
      <c r="D21" s="512">
        <v>19192</v>
      </c>
      <c r="E21" s="397" t="s">
        <v>1</v>
      </c>
      <c r="F21" s="933" t="s">
        <v>368</v>
      </c>
      <c r="G21" s="931"/>
      <c r="H21" s="931"/>
      <c r="I21" s="931"/>
      <c r="J21" s="931"/>
      <c r="K21" s="934"/>
      <c r="L21" s="505"/>
      <c r="M21" s="505"/>
      <c r="N21" s="505"/>
      <c r="O21" s="361"/>
      <c r="P21" s="361"/>
      <c r="Q21" s="94"/>
    </row>
    <row r="22" spans="1:17" s="51" customFormat="1" ht="15">
      <c r="A22" s="920" t="s">
        <v>500</v>
      </c>
      <c r="B22" s="881"/>
      <c r="C22" s="921"/>
      <c r="D22" s="513">
        <f>SUM(B6:B15)</f>
        <v>1902</v>
      </c>
      <c r="E22" s="399" t="s">
        <v>1</v>
      </c>
      <c r="F22" s="880" t="s">
        <v>499</v>
      </c>
      <c r="G22" s="881"/>
      <c r="H22" s="881"/>
      <c r="I22" s="881"/>
      <c r="J22" s="881"/>
      <c r="K22" s="882"/>
      <c r="L22" s="505"/>
      <c r="M22" s="505"/>
      <c r="N22" s="505"/>
      <c r="O22" s="361"/>
      <c r="P22" s="361"/>
      <c r="Q22" s="94"/>
    </row>
    <row r="23" spans="1:17" s="51" customFormat="1" ht="15">
      <c r="A23" s="920" t="s">
        <v>390</v>
      </c>
      <c r="B23" s="881"/>
      <c r="C23" s="921"/>
      <c r="D23" s="514">
        <v>0.4</v>
      </c>
      <c r="E23" s="399" t="s">
        <v>477</v>
      </c>
      <c r="F23" s="904" t="s">
        <v>478</v>
      </c>
      <c r="G23" s="905"/>
      <c r="H23" s="905"/>
      <c r="I23" s="905"/>
      <c r="J23" s="905"/>
      <c r="K23" s="906"/>
      <c r="L23" s="505"/>
      <c r="M23" s="505"/>
      <c r="N23" s="505"/>
      <c r="O23" s="361"/>
      <c r="P23" s="361"/>
      <c r="Q23" s="94"/>
    </row>
    <row r="24" spans="1:17" s="51" customFormat="1" ht="15">
      <c r="A24" s="920" t="s">
        <v>398</v>
      </c>
      <c r="B24" s="881"/>
      <c r="C24" s="921"/>
      <c r="D24" s="514" t="s">
        <v>464</v>
      </c>
      <c r="E24" s="399" t="s">
        <v>187</v>
      </c>
      <c r="F24" s="880" t="s">
        <v>466</v>
      </c>
      <c r="G24" s="881"/>
      <c r="H24" s="881"/>
      <c r="I24" s="881"/>
      <c r="J24" s="881"/>
      <c r="K24" s="882"/>
      <c r="L24" s="505"/>
      <c r="M24" s="505"/>
      <c r="N24" s="505"/>
      <c r="O24" s="361"/>
      <c r="P24" s="361"/>
      <c r="Q24" s="94"/>
    </row>
    <row r="25" spans="1:17" s="51" customFormat="1" ht="15">
      <c r="A25" s="920" t="s">
        <v>506</v>
      </c>
      <c r="B25" s="881"/>
      <c r="C25" s="921"/>
      <c r="D25" s="514" t="s">
        <v>464</v>
      </c>
      <c r="E25" s="399" t="s">
        <v>503</v>
      </c>
      <c r="F25" s="880" t="s">
        <v>505</v>
      </c>
      <c r="G25" s="881"/>
      <c r="H25" s="881"/>
      <c r="I25" s="881"/>
      <c r="J25" s="881"/>
      <c r="K25" s="882"/>
      <c r="L25" s="505"/>
      <c r="M25" s="505"/>
      <c r="N25" s="505"/>
      <c r="O25" s="361"/>
      <c r="P25" s="361"/>
      <c r="Q25" s="94"/>
    </row>
    <row r="26" spans="1:17" s="51" customFormat="1" ht="15">
      <c r="A26" s="920" t="s">
        <v>485</v>
      </c>
      <c r="B26" s="881"/>
      <c r="C26" s="921"/>
      <c r="D26" s="514">
        <f>TRUNC(D23*D22*30.42/1000,2)</f>
        <v>23.14</v>
      </c>
      <c r="E26" s="399" t="s">
        <v>5</v>
      </c>
      <c r="F26" s="880" t="s">
        <v>388</v>
      </c>
      <c r="G26" s="881"/>
      <c r="H26" s="881"/>
      <c r="I26" s="881"/>
      <c r="J26" s="881"/>
      <c r="K26" s="882"/>
      <c r="L26" s="505"/>
      <c r="M26" s="505"/>
      <c r="N26" s="505"/>
      <c r="O26" s="361"/>
      <c r="P26" s="361"/>
      <c r="Q26" s="94"/>
    </row>
    <row r="27" spans="1:17" s="51" customFormat="1" ht="15">
      <c r="A27" s="920" t="s">
        <v>393</v>
      </c>
      <c r="B27" s="881"/>
      <c r="C27" s="921"/>
      <c r="D27" s="514">
        <f>K17</f>
        <v>2770.38</v>
      </c>
      <c r="E27" s="401" t="s">
        <v>9</v>
      </c>
      <c r="F27" s="883" t="s">
        <v>501</v>
      </c>
      <c r="G27" s="884"/>
      <c r="H27" s="884"/>
      <c r="I27" s="884"/>
      <c r="J27" s="884"/>
      <c r="K27" s="885"/>
      <c r="L27" s="505"/>
      <c r="M27" s="505"/>
      <c r="N27" s="505"/>
      <c r="O27" s="361"/>
      <c r="P27" s="361"/>
      <c r="Q27" s="94"/>
    </row>
    <row r="28" spans="1:17" s="51" customFormat="1" ht="15">
      <c r="A28" s="920" t="s">
        <v>380</v>
      </c>
      <c r="B28" s="881"/>
      <c r="C28" s="921"/>
      <c r="D28" s="515">
        <v>14</v>
      </c>
      <c r="E28" s="401" t="s">
        <v>11</v>
      </c>
      <c r="F28" s="895" t="s">
        <v>16</v>
      </c>
      <c r="G28" s="896"/>
      <c r="H28" s="896"/>
      <c r="I28" s="896"/>
      <c r="J28" s="896"/>
      <c r="K28" s="897"/>
      <c r="L28" s="505"/>
      <c r="M28" s="505"/>
      <c r="N28" s="505"/>
      <c r="O28" s="361"/>
      <c r="P28" s="361"/>
      <c r="Q28" s="94"/>
    </row>
    <row r="29" spans="1:17" s="51" customFormat="1" ht="23.25" customHeight="1">
      <c r="A29" s="920" t="s">
        <v>381</v>
      </c>
      <c r="B29" s="881"/>
      <c r="C29" s="921"/>
      <c r="D29" s="514">
        <f>'INF. BÁSICAS'!B12</f>
        <v>0.23</v>
      </c>
      <c r="E29" s="401" t="s">
        <v>12</v>
      </c>
      <c r="F29" s="895" t="s">
        <v>385</v>
      </c>
      <c r="G29" s="896"/>
      <c r="H29" s="896"/>
      <c r="I29" s="896"/>
      <c r="J29" s="896"/>
      <c r="K29" s="897"/>
      <c r="L29" s="505"/>
      <c r="M29" s="505"/>
      <c r="N29" s="505"/>
      <c r="O29" s="361"/>
      <c r="P29" s="361"/>
      <c r="Q29" s="94"/>
    </row>
    <row r="30" spans="1:17" s="51" customFormat="1" ht="15">
      <c r="A30" s="920" t="s">
        <v>396</v>
      </c>
      <c r="B30" s="881"/>
      <c r="C30" s="921"/>
      <c r="D30" s="516">
        <v>0.73</v>
      </c>
      <c r="E30" s="401" t="s">
        <v>280</v>
      </c>
      <c r="F30" s="883" t="s">
        <v>456</v>
      </c>
      <c r="G30" s="884"/>
      <c r="H30" s="884"/>
      <c r="I30" s="884"/>
      <c r="J30" s="884"/>
      <c r="K30" s="885"/>
      <c r="L30" s="505"/>
      <c r="M30" s="505"/>
      <c r="N30" s="505"/>
      <c r="O30" s="361"/>
      <c r="P30" s="361"/>
      <c r="Q30" s="94"/>
    </row>
    <row r="31" spans="1:17" s="51" customFormat="1" ht="15">
      <c r="A31" s="920" t="s">
        <v>382</v>
      </c>
      <c r="B31" s="881"/>
      <c r="C31" s="921"/>
      <c r="D31" s="517">
        <v>1</v>
      </c>
      <c r="E31" s="401" t="s">
        <v>16</v>
      </c>
      <c r="F31" s="895" t="s">
        <v>455</v>
      </c>
      <c r="G31" s="884"/>
      <c r="H31" s="884"/>
      <c r="I31" s="884"/>
      <c r="J31" s="884"/>
      <c r="K31" s="885"/>
      <c r="L31" s="505"/>
      <c r="M31" s="505"/>
      <c r="N31" s="505"/>
      <c r="O31" s="361"/>
      <c r="P31" s="361"/>
      <c r="Q31" s="94"/>
    </row>
    <row r="32" spans="1:17" s="51" customFormat="1" ht="15">
      <c r="A32" s="920" t="s">
        <v>399</v>
      </c>
      <c r="B32" s="881"/>
      <c r="C32" s="921"/>
      <c r="D32" s="514">
        <f>D28*D29*D30*D31</f>
        <v>2.3506</v>
      </c>
      <c r="E32" s="401" t="s">
        <v>13</v>
      </c>
      <c r="F32" s="883" t="s">
        <v>397</v>
      </c>
      <c r="G32" s="884"/>
      <c r="H32" s="884"/>
      <c r="I32" s="884"/>
      <c r="J32" s="884"/>
      <c r="K32" s="885"/>
      <c r="L32" s="505"/>
      <c r="M32" s="505"/>
      <c r="N32" s="505"/>
      <c r="O32" s="361"/>
      <c r="P32" s="361"/>
      <c r="Q32" s="94"/>
    </row>
    <row r="33" spans="1:17" s="51" customFormat="1" ht="15">
      <c r="A33" s="920" t="s">
        <v>465</v>
      </c>
      <c r="B33" s="881"/>
      <c r="C33" s="921"/>
      <c r="D33" s="514">
        <f>K17</f>
        <v>2770.38</v>
      </c>
      <c r="E33" s="403" t="s">
        <v>9</v>
      </c>
      <c r="F33" s="886" t="s">
        <v>402</v>
      </c>
      <c r="G33" s="887"/>
      <c r="H33" s="887"/>
      <c r="I33" s="887"/>
      <c r="J33" s="887"/>
      <c r="K33" s="888"/>
      <c r="L33" s="505"/>
      <c r="M33" s="505"/>
      <c r="N33" s="505"/>
      <c r="O33" s="361"/>
      <c r="P33" s="361"/>
      <c r="Q33" s="94"/>
    </row>
    <row r="34" spans="1:17" s="51" customFormat="1" ht="15">
      <c r="A34" s="889"/>
      <c r="B34" s="890"/>
      <c r="C34" s="890"/>
      <c r="D34" s="890"/>
      <c r="E34" s="890"/>
      <c r="F34" s="890"/>
      <c r="G34" s="890"/>
      <c r="H34" s="890"/>
      <c r="I34" s="890"/>
      <c r="J34" s="890"/>
      <c r="K34" s="891"/>
      <c r="L34" s="505"/>
      <c r="M34" s="505"/>
      <c r="N34" s="505"/>
      <c r="O34" s="361"/>
      <c r="P34" s="361"/>
      <c r="Q34" s="94"/>
    </row>
    <row r="35" spans="1:17" s="51" customFormat="1" ht="15.75">
      <c r="A35" s="892" t="s">
        <v>507</v>
      </c>
      <c r="B35" s="893"/>
      <c r="C35" s="893"/>
      <c r="D35" s="893"/>
      <c r="E35" s="893"/>
      <c r="F35" s="893"/>
      <c r="G35" s="893"/>
      <c r="H35" s="893"/>
      <c r="I35" s="893"/>
      <c r="J35" s="893"/>
      <c r="K35" s="894"/>
      <c r="L35" s="505"/>
      <c r="M35" s="505"/>
      <c r="N35" s="505"/>
      <c r="O35" s="361"/>
      <c r="P35" s="361"/>
      <c r="Q35" s="94"/>
    </row>
    <row r="36" spans="1:17" s="51" customFormat="1" ht="15">
      <c r="A36" s="920" t="s">
        <v>361</v>
      </c>
      <c r="B36" s="881"/>
      <c r="C36" s="921"/>
      <c r="D36" s="518">
        <v>1</v>
      </c>
      <c r="E36" s="401" t="s">
        <v>10</v>
      </c>
      <c r="F36" s="886" t="s">
        <v>502</v>
      </c>
      <c r="G36" s="887"/>
      <c r="H36" s="887"/>
      <c r="I36" s="887"/>
      <c r="J36" s="887"/>
      <c r="K36" s="888"/>
      <c r="L36" s="505"/>
      <c r="M36" s="505"/>
      <c r="N36" s="505"/>
      <c r="O36" s="361"/>
      <c r="P36" s="361"/>
      <c r="Q36" s="94"/>
    </row>
    <row r="37" spans="1:17" s="51" customFormat="1" ht="15">
      <c r="A37" s="920" t="s">
        <v>362</v>
      </c>
      <c r="B37" s="881"/>
      <c r="C37" s="921"/>
      <c r="D37" s="518">
        <v>1</v>
      </c>
      <c r="E37" s="401" t="s">
        <v>10</v>
      </c>
      <c r="F37" s="886" t="s">
        <v>458</v>
      </c>
      <c r="G37" s="887"/>
      <c r="H37" s="887"/>
      <c r="I37" s="887"/>
      <c r="J37" s="887"/>
      <c r="K37" s="888"/>
      <c r="L37" s="505"/>
      <c r="M37" s="505"/>
      <c r="N37" s="505"/>
      <c r="O37" s="361"/>
      <c r="P37" s="361"/>
      <c r="Q37" s="94"/>
    </row>
    <row r="38" spans="1:17" s="51" customFormat="1" ht="15">
      <c r="A38" s="920" t="s">
        <v>363</v>
      </c>
      <c r="B38" s="881"/>
      <c r="C38" s="921"/>
      <c r="D38" s="518">
        <v>2</v>
      </c>
      <c r="E38" s="401" t="s">
        <v>10</v>
      </c>
      <c r="F38" s="886" t="s">
        <v>462</v>
      </c>
      <c r="G38" s="887"/>
      <c r="H38" s="887"/>
      <c r="I38" s="887"/>
      <c r="J38" s="887"/>
      <c r="K38" s="888"/>
      <c r="L38" s="505"/>
      <c r="M38" s="505"/>
      <c r="N38" s="505"/>
      <c r="O38" s="361"/>
      <c r="P38" s="361"/>
      <c r="Q38" s="94"/>
    </row>
    <row r="39" spans="1:17" s="51" customFormat="1" ht="15">
      <c r="A39" s="920" t="s">
        <v>443</v>
      </c>
      <c r="B39" s="881"/>
      <c r="C39" s="921"/>
      <c r="D39" s="518">
        <f>D36</f>
        <v>1</v>
      </c>
      <c r="E39" s="401" t="s">
        <v>10</v>
      </c>
      <c r="F39" s="886" t="s">
        <v>463</v>
      </c>
      <c r="G39" s="887"/>
      <c r="H39" s="887"/>
      <c r="I39" s="887"/>
      <c r="J39" s="887"/>
      <c r="K39" s="888"/>
      <c r="L39" s="505"/>
      <c r="M39" s="505"/>
      <c r="N39" s="505"/>
      <c r="O39" s="361"/>
      <c r="P39" s="361"/>
      <c r="Q39" s="94"/>
    </row>
    <row r="40" spans="1:17" s="51" customFormat="1" ht="15">
      <c r="A40" s="920" t="s">
        <v>364</v>
      </c>
      <c r="B40" s="881"/>
      <c r="C40" s="921"/>
      <c r="D40" s="518">
        <f>D36</f>
        <v>1</v>
      </c>
      <c r="E40" s="401" t="s">
        <v>10</v>
      </c>
      <c r="F40" s="886" t="s">
        <v>441</v>
      </c>
      <c r="G40" s="887"/>
      <c r="H40" s="887"/>
      <c r="I40" s="887"/>
      <c r="J40" s="887"/>
      <c r="K40" s="888"/>
      <c r="L40" s="505"/>
      <c r="M40" s="505"/>
      <c r="N40" s="505"/>
      <c r="O40" s="361"/>
      <c r="P40" s="361"/>
      <c r="Q40" s="94"/>
    </row>
    <row r="41" spans="1:17" s="51" customFormat="1" ht="15.75" thickBot="1">
      <c r="A41" s="922" t="s">
        <v>444</v>
      </c>
      <c r="B41" s="923"/>
      <c r="C41" s="924"/>
      <c r="D41" s="519">
        <f>1</f>
        <v>1</v>
      </c>
      <c r="E41" s="409" t="s">
        <v>10</v>
      </c>
      <c r="F41" s="910" t="s">
        <v>446</v>
      </c>
      <c r="G41" s="911"/>
      <c r="H41" s="911"/>
      <c r="I41" s="911"/>
      <c r="J41" s="911"/>
      <c r="K41" s="912"/>
      <c r="L41" s="505"/>
      <c r="M41" s="505"/>
      <c r="N41" s="505"/>
      <c r="O41" s="361"/>
      <c r="P41" s="361"/>
      <c r="Q41" s="94"/>
    </row>
    <row r="42" spans="1:17" ht="15">
      <c r="A42" s="361"/>
      <c r="B42" s="361"/>
      <c r="C42" s="361"/>
      <c r="D42" s="361"/>
      <c r="E42" s="361"/>
      <c r="F42" s="361"/>
      <c r="G42" s="361"/>
      <c r="H42" s="361"/>
      <c r="I42" s="361"/>
      <c r="J42" s="361"/>
      <c r="K42" s="361"/>
      <c r="L42" s="361"/>
      <c r="M42" s="361"/>
      <c r="N42" s="361"/>
      <c r="O42" s="361"/>
      <c r="P42" s="361"/>
      <c r="Q42" s="94"/>
    </row>
    <row r="43" spans="1:17" ht="15">
      <c r="A43" s="505"/>
      <c r="B43" s="361"/>
      <c r="C43" s="361"/>
      <c r="D43" s="361"/>
      <c r="E43" s="361"/>
      <c r="F43" s="361"/>
      <c r="G43" s="361"/>
      <c r="H43" s="361"/>
      <c r="I43" s="361"/>
      <c r="J43" s="361"/>
      <c r="K43" s="361"/>
      <c r="L43" s="361"/>
      <c r="M43" s="361"/>
      <c r="N43" s="361"/>
      <c r="O43" s="361"/>
      <c r="P43" s="361"/>
      <c r="Q43" s="94"/>
    </row>
    <row r="44" spans="1:17" ht="15">
      <c r="A44" s="505"/>
      <c r="B44" s="361"/>
      <c r="C44" s="361"/>
      <c r="D44" s="361"/>
      <c r="E44" s="361"/>
      <c r="F44" s="361"/>
      <c r="G44" s="361"/>
      <c r="H44" s="361"/>
      <c r="I44" s="361"/>
      <c r="J44" s="361"/>
      <c r="K44" s="361"/>
      <c r="L44" s="361"/>
      <c r="M44" s="361"/>
      <c r="N44" s="361"/>
      <c r="O44" s="361"/>
      <c r="P44" s="361"/>
      <c r="Q44" s="94"/>
    </row>
    <row r="45" spans="1:17" ht="14.25" customHeight="1">
      <c r="A45" s="505"/>
      <c r="B45" s="361"/>
      <c r="C45" s="361"/>
      <c r="D45" s="361"/>
      <c r="E45" s="361"/>
      <c r="F45" s="361"/>
      <c r="G45" s="361"/>
      <c r="H45" s="361"/>
      <c r="I45" s="361"/>
      <c r="J45" s="361"/>
      <c r="K45" s="361"/>
      <c r="L45" s="361"/>
      <c r="M45" s="361"/>
      <c r="N45" s="361"/>
      <c r="O45" s="361"/>
      <c r="P45" s="361"/>
      <c r="Q45" s="94"/>
    </row>
    <row r="46" spans="1:17" ht="15">
      <c r="A46" s="505"/>
      <c r="B46" s="361"/>
      <c r="C46" s="361"/>
      <c r="D46" s="361"/>
      <c r="E46" s="361"/>
      <c r="F46" s="361"/>
      <c r="G46" s="361"/>
      <c r="H46" s="361"/>
      <c r="I46" s="361"/>
      <c r="J46" s="361"/>
      <c r="K46" s="361"/>
      <c r="L46" s="361"/>
      <c r="M46" s="361"/>
      <c r="N46" s="361"/>
      <c r="O46" s="361"/>
      <c r="P46" s="361"/>
      <c r="Q46" s="94"/>
    </row>
    <row r="47" spans="1:17" ht="15">
      <c r="A47" s="505"/>
      <c r="B47" s="361"/>
      <c r="C47" s="361"/>
      <c r="D47" s="361"/>
      <c r="E47" s="361"/>
      <c r="F47" s="361"/>
      <c r="G47" s="361"/>
      <c r="H47" s="361"/>
      <c r="I47" s="361"/>
      <c r="J47" s="361"/>
      <c r="K47" s="361"/>
      <c r="L47" s="361"/>
      <c r="M47" s="361"/>
      <c r="N47" s="361"/>
      <c r="O47" s="361"/>
      <c r="P47" s="361"/>
      <c r="Q47" s="94"/>
    </row>
    <row r="48" spans="1:17" ht="15">
      <c r="A48" s="505"/>
      <c r="B48" s="361"/>
      <c r="C48" s="361"/>
      <c r="D48" s="361"/>
      <c r="E48" s="361"/>
      <c r="F48" s="361"/>
      <c r="G48" s="361"/>
      <c r="H48" s="361"/>
      <c r="I48" s="361"/>
      <c r="J48" s="361"/>
      <c r="K48" s="361"/>
      <c r="L48" s="361"/>
      <c r="M48" s="361"/>
      <c r="N48" s="361"/>
      <c r="O48" s="361"/>
      <c r="P48" s="361"/>
      <c r="Q48" s="94"/>
    </row>
    <row r="49" spans="1:17" ht="15">
      <c r="A49" s="505"/>
      <c r="B49" s="361"/>
      <c r="C49" s="361"/>
      <c r="D49" s="361"/>
      <c r="E49" s="361"/>
      <c r="F49" s="361"/>
      <c r="G49" s="361"/>
      <c r="H49" s="361"/>
      <c r="I49" s="361"/>
      <c r="J49" s="361"/>
      <c r="K49" s="361"/>
      <c r="L49" s="361"/>
      <c r="M49" s="361"/>
      <c r="N49" s="361"/>
      <c r="O49" s="361"/>
      <c r="P49" s="361"/>
      <c r="Q49" s="94"/>
    </row>
    <row r="50" spans="1:17" ht="15" customHeight="1">
      <c r="A50" s="505"/>
      <c r="B50" s="361"/>
      <c r="C50" s="361"/>
      <c r="D50" s="361"/>
      <c r="E50" s="361"/>
      <c r="F50" s="361"/>
      <c r="G50" s="361"/>
      <c r="H50" s="361"/>
      <c r="I50" s="361"/>
      <c r="J50" s="361"/>
      <c r="K50" s="361"/>
      <c r="L50" s="361"/>
      <c r="M50" s="361"/>
      <c r="N50" s="361"/>
      <c r="O50" s="361"/>
      <c r="P50" s="361"/>
      <c r="Q50" s="94"/>
    </row>
    <row r="51" spans="1:17" ht="15">
      <c r="A51" s="505"/>
      <c r="B51" s="361"/>
      <c r="C51" s="361"/>
      <c r="D51" s="361"/>
      <c r="E51" s="361"/>
      <c r="F51" s="361"/>
      <c r="G51" s="361"/>
      <c r="H51" s="361"/>
      <c r="I51" s="361"/>
      <c r="J51" s="361"/>
      <c r="K51" s="361"/>
      <c r="L51" s="361"/>
      <c r="M51" s="361"/>
      <c r="N51" s="361"/>
      <c r="O51" s="361"/>
      <c r="P51" s="361"/>
      <c r="Q51" s="94"/>
    </row>
    <row r="52" spans="1:17" ht="15" customHeight="1">
      <c r="A52" s="505"/>
      <c r="B52" s="361"/>
      <c r="C52" s="361"/>
      <c r="D52" s="361"/>
      <c r="E52" s="361"/>
      <c r="F52" s="361"/>
      <c r="G52" s="361"/>
      <c r="H52" s="361"/>
      <c r="I52" s="361"/>
      <c r="J52" s="361"/>
      <c r="K52" s="361"/>
      <c r="L52" s="361"/>
      <c r="M52" s="361"/>
      <c r="N52" s="361"/>
      <c r="O52" s="361"/>
      <c r="P52" s="361"/>
      <c r="Q52" s="94"/>
    </row>
    <row r="53" spans="1:17" ht="14.45" customHeight="1">
      <c r="A53" s="505"/>
      <c r="B53" s="361"/>
      <c r="C53" s="361"/>
      <c r="D53" s="361"/>
      <c r="E53" s="361"/>
      <c r="F53" s="361"/>
      <c r="G53" s="361"/>
      <c r="H53" s="361"/>
      <c r="I53" s="361"/>
      <c r="J53" s="361"/>
      <c r="K53" s="361"/>
      <c r="L53" s="361"/>
      <c r="M53" s="361"/>
      <c r="N53" s="361"/>
      <c r="O53" s="361"/>
      <c r="P53" s="361"/>
      <c r="Q53" s="94"/>
    </row>
    <row r="54" spans="1:17" ht="15">
      <c r="A54" s="505"/>
      <c r="B54" s="361"/>
      <c r="C54" s="361"/>
      <c r="D54" s="361"/>
      <c r="E54" s="361"/>
      <c r="F54" s="361"/>
      <c r="G54" s="361"/>
      <c r="H54" s="361"/>
      <c r="I54" s="361"/>
      <c r="J54" s="361"/>
      <c r="K54" s="361"/>
      <c r="L54" s="361"/>
      <c r="M54" s="361"/>
      <c r="N54" s="361"/>
      <c r="O54" s="361"/>
      <c r="P54" s="361"/>
      <c r="Q54" s="94"/>
    </row>
    <row r="55" spans="1:17" ht="38.25" customHeight="1">
      <c r="A55" s="505"/>
      <c r="B55" s="361"/>
      <c r="C55" s="361"/>
      <c r="D55" s="361"/>
      <c r="E55" s="361"/>
      <c r="F55" s="361"/>
      <c r="G55" s="361"/>
      <c r="H55" s="361"/>
      <c r="I55" s="361"/>
      <c r="J55" s="361"/>
      <c r="K55" s="361"/>
      <c r="L55" s="361"/>
      <c r="M55" s="361"/>
      <c r="N55" s="361"/>
      <c r="O55" s="361"/>
      <c r="P55" s="361"/>
      <c r="Q55" s="94"/>
    </row>
    <row r="56" spans="1:17" ht="15">
      <c r="A56" s="505"/>
      <c r="B56" s="361"/>
      <c r="C56" s="361"/>
      <c r="D56" s="361"/>
      <c r="E56" s="361"/>
      <c r="F56" s="361"/>
      <c r="G56" s="361"/>
      <c r="H56" s="361"/>
      <c r="I56" s="361"/>
      <c r="J56" s="361"/>
      <c r="K56" s="361"/>
      <c r="L56" s="361"/>
      <c r="M56" s="361"/>
      <c r="N56" s="361"/>
      <c r="O56" s="361"/>
      <c r="P56" s="361"/>
      <c r="Q56" s="94"/>
    </row>
    <row r="57" spans="1:17" ht="15">
      <c r="A57" s="505"/>
      <c r="B57" s="361"/>
      <c r="C57" s="361"/>
      <c r="D57" s="361"/>
      <c r="E57" s="361"/>
      <c r="F57" s="361"/>
      <c r="G57" s="361"/>
      <c r="H57" s="361"/>
      <c r="I57" s="361"/>
      <c r="J57" s="361"/>
      <c r="K57" s="361"/>
      <c r="L57" s="361"/>
      <c r="M57" s="361"/>
      <c r="N57" s="361"/>
      <c r="O57" s="361"/>
      <c r="P57" s="361"/>
      <c r="Q57" s="94"/>
    </row>
    <row r="58" spans="1:17" ht="15">
      <c r="A58" s="505"/>
      <c r="B58" s="361"/>
      <c r="C58" s="361"/>
      <c r="D58" s="361"/>
      <c r="E58" s="361"/>
      <c r="F58" s="361"/>
      <c r="G58" s="361"/>
      <c r="H58" s="361"/>
      <c r="I58" s="361"/>
      <c r="J58" s="361"/>
      <c r="K58" s="361"/>
      <c r="L58" s="361"/>
      <c r="M58" s="361"/>
      <c r="N58" s="361"/>
      <c r="O58" s="361"/>
      <c r="P58" s="361"/>
      <c r="Q58" s="94"/>
    </row>
    <row r="59" spans="1:17" ht="15">
      <c r="A59" s="505"/>
      <c r="B59" s="361"/>
      <c r="C59" s="361"/>
      <c r="D59" s="361"/>
      <c r="E59" s="361"/>
      <c r="F59" s="361"/>
      <c r="G59" s="361"/>
      <c r="H59" s="361"/>
      <c r="I59" s="361"/>
      <c r="J59" s="361"/>
      <c r="K59" s="361"/>
      <c r="L59" s="361"/>
      <c r="M59" s="361"/>
      <c r="N59" s="361"/>
      <c r="O59" s="361"/>
      <c r="P59" s="361"/>
      <c r="Q59" s="94"/>
    </row>
    <row r="60" spans="1:17" ht="15">
      <c r="A60" s="505"/>
      <c r="B60" s="361"/>
      <c r="C60" s="361"/>
      <c r="D60" s="361"/>
      <c r="E60" s="361"/>
      <c r="F60" s="361"/>
      <c r="G60" s="361"/>
      <c r="H60" s="361"/>
      <c r="I60" s="361"/>
      <c r="J60" s="361"/>
      <c r="K60" s="361"/>
      <c r="L60" s="361"/>
      <c r="M60" s="361"/>
      <c r="N60" s="361"/>
      <c r="O60" s="361"/>
      <c r="P60" s="361"/>
      <c r="Q60" s="94"/>
    </row>
    <row r="61" spans="1:17" ht="15">
      <c r="A61" s="505"/>
      <c r="B61" s="361"/>
      <c r="C61" s="361"/>
      <c r="D61" s="361"/>
      <c r="E61" s="361"/>
      <c r="F61" s="361"/>
      <c r="G61" s="361"/>
      <c r="H61" s="361"/>
      <c r="I61" s="361"/>
      <c r="J61" s="361"/>
      <c r="K61" s="361"/>
      <c r="L61" s="361"/>
      <c r="M61" s="361"/>
      <c r="N61" s="361"/>
      <c r="O61" s="361"/>
      <c r="P61" s="361"/>
      <c r="Q61" s="94"/>
    </row>
    <row r="62" spans="1:17" ht="15">
      <c r="A62" s="505"/>
      <c r="B62" s="361"/>
      <c r="C62" s="361"/>
      <c r="D62" s="361"/>
      <c r="E62" s="361"/>
      <c r="F62" s="361"/>
      <c r="G62" s="361"/>
      <c r="H62" s="361"/>
      <c r="I62" s="361"/>
      <c r="J62" s="361"/>
      <c r="K62" s="361"/>
      <c r="L62" s="361"/>
      <c r="M62" s="361"/>
      <c r="N62" s="361"/>
      <c r="O62" s="361"/>
      <c r="P62" s="361"/>
      <c r="Q62" s="94"/>
    </row>
    <row r="63" spans="1:17" ht="15">
      <c r="A63" s="505"/>
      <c r="B63" s="361"/>
      <c r="C63" s="361"/>
      <c r="D63" s="361"/>
      <c r="E63" s="361"/>
      <c r="F63" s="361"/>
      <c r="G63" s="361"/>
      <c r="H63" s="361"/>
      <c r="I63" s="361"/>
      <c r="J63" s="361"/>
      <c r="K63" s="361"/>
      <c r="L63" s="361"/>
      <c r="M63" s="361"/>
      <c r="N63" s="361"/>
      <c r="O63" s="361"/>
      <c r="P63" s="361"/>
      <c r="Q63" s="94"/>
    </row>
    <row r="64" spans="1:17" ht="15">
      <c r="A64" s="505"/>
      <c r="B64" s="361"/>
      <c r="C64" s="361"/>
      <c r="D64" s="361"/>
      <c r="E64" s="361"/>
      <c r="F64" s="361"/>
      <c r="G64" s="361"/>
      <c r="H64" s="361"/>
      <c r="I64" s="361"/>
      <c r="J64" s="361"/>
      <c r="K64" s="361"/>
      <c r="L64" s="361"/>
      <c r="M64" s="361"/>
      <c r="N64" s="361"/>
      <c r="O64" s="361"/>
      <c r="P64" s="361"/>
      <c r="Q64" s="94"/>
    </row>
    <row r="65" spans="1:17" ht="15">
      <c r="A65" s="505"/>
      <c r="B65" s="361"/>
      <c r="C65" s="361"/>
      <c r="D65" s="361"/>
      <c r="E65" s="361"/>
      <c r="F65" s="361"/>
      <c r="G65" s="361"/>
      <c r="H65" s="361"/>
      <c r="I65" s="361"/>
      <c r="J65" s="361"/>
      <c r="K65" s="361"/>
      <c r="L65" s="361"/>
      <c r="M65" s="361"/>
      <c r="N65" s="361"/>
      <c r="O65" s="361"/>
      <c r="P65" s="361"/>
      <c r="Q65" s="94"/>
    </row>
    <row r="66" spans="1:17" ht="15">
      <c r="A66" s="505"/>
      <c r="B66" s="361"/>
      <c r="C66" s="361"/>
      <c r="D66" s="361"/>
      <c r="E66" s="361"/>
      <c r="F66" s="361"/>
      <c r="G66" s="361"/>
      <c r="H66" s="361"/>
      <c r="I66" s="361"/>
      <c r="J66" s="361"/>
      <c r="K66" s="361"/>
      <c r="L66" s="361"/>
      <c r="M66" s="361"/>
      <c r="N66" s="361"/>
      <c r="O66" s="361"/>
      <c r="P66" s="361"/>
      <c r="Q66" s="94"/>
    </row>
    <row r="67" spans="1:17" ht="15">
      <c r="A67" s="505"/>
      <c r="B67" s="361"/>
      <c r="C67" s="361"/>
      <c r="D67" s="361"/>
      <c r="E67" s="361"/>
      <c r="F67" s="361"/>
      <c r="G67" s="361"/>
      <c r="H67" s="361"/>
      <c r="I67" s="361"/>
      <c r="J67" s="361"/>
      <c r="K67" s="361"/>
      <c r="L67" s="361"/>
      <c r="M67" s="361"/>
      <c r="N67" s="361"/>
      <c r="O67" s="361"/>
      <c r="P67" s="361"/>
      <c r="Q67" s="94"/>
    </row>
    <row r="68" spans="1:17" ht="15">
      <c r="A68" s="354"/>
      <c r="B68" s="94"/>
      <c r="C68" s="94"/>
      <c r="D68" s="94"/>
      <c r="E68" s="94"/>
      <c r="F68" s="94"/>
      <c r="G68" s="94"/>
      <c r="H68" s="94"/>
      <c r="I68" s="94"/>
      <c r="J68" s="94"/>
      <c r="K68" s="94"/>
      <c r="L68" s="94"/>
      <c r="M68" s="94"/>
      <c r="N68" s="94"/>
      <c r="O68" s="94"/>
      <c r="P68" s="94"/>
      <c r="Q68" s="94"/>
    </row>
    <row r="69" spans="1:17" ht="15">
      <c r="A69" s="354"/>
      <c r="B69" s="94"/>
      <c r="C69" s="94"/>
      <c r="D69" s="94"/>
      <c r="E69" s="94"/>
      <c r="F69" s="94"/>
      <c r="G69" s="94"/>
      <c r="H69" s="94"/>
      <c r="I69" s="94"/>
      <c r="J69" s="94"/>
      <c r="K69" s="94"/>
      <c r="L69" s="94"/>
      <c r="M69" s="94"/>
      <c r="N69" s="94"/>
      <c r="O69" s="94"/>
      <c r="P69" s="94"/>
      <c r="Q69" s="94"/>
    </row>
    <row r="70" spans="1:17" ht="15">
      <c r="A70" s="354"/>
      <c r="B70" s="94"/>
      <c r="C70" s="94"/>
      <c r="D70" s="94"/>
      <c r="E70" s="94"/>
      <c r="F70" s="94"/>
      <c r="G70" s="94"/>
      <c r="H70" s="94"/>
      <c r="I70" s="94"/>
      <c r="J70" s="94"/>
      <c r="K70" s="94"/>
      <c r="L70" s="94"/>
      <c r="M70" s="94"/>
      <c r="N70" s="94"/>
      <c r="O70" s="94"/>
      <c r="P70" s="94"/>
      <c r="Q70" s="94"/>
    </row>
    <row r="71" spans="1:17" ht="15">
      <c r="A71" s="354"/>
      <c r="B71" s="94"/>
      <c r="C71" s="94"/>
      <c r="D71" s="94"/>
      <c r="E71" s="94"/>
      <c r="F71" s="94"/>
      <c r="G71" s="94"/>
      <c r="H71" s="94"/>
      <c r="I71" s="94"/>
      <c r="J71" s="94"/>
      <c r="K71" s="94"/>
      <c r="L71" s="94"/>
      <c r="M71" s="94"/>
      <c r="N71" s="94"/>
      <c r="O71" s="94"/>
      <c r="P71" s="94"/>
      <c r="Q71" s="94"/>
    </row>
    <row r="72" spans="1:17" ht="15">
      <c r="A72" s="354"/>
      <c r="B72" s="94"/>
      <c r="C72" s="94"/>
      <c r="D72" s="94"/>
      <c r="E72" s="94"/>
      <c r="F72" s="94"/>
      <c r="G72" s="94"/>
      <c r="H72" s="94"/>
      <c r="I72" s="94"/>
      <c r="J72" s="94"/>
      <c r="K72" s="94"/>
      <c r="L72" s="94"/>
      <c r="M72" s="94"/>
      <c r="N72" s="94"/>
      <c r="O72" s="94"/>
      <c r="P72" s="94"/>
      <c r="Q72" s="94"/>
    </row>
    <row r="73" spans="1:17" ht="15">
      <c r="A73" s="354"/>
      <c r="B73" s="94"/>
      <c r="C73" s="94"/>
      <c r="D73" s="94"/>
      <c r="E73" s="94"/>
      <c r="F73" s="94"/>
      <c r="G73" s="94"/>
      <c r="H73" s="94"/>
      <c r="I73" s="94"/>
      <c r="J73" s="94"/>
      <c r="K73" s="94"/>
      <c r="L73" s="94"/>
      <c r="M73" s="94"/>
      <c r="N73" s="94"/>
      <c r="O73" s="94"/>
      <c r="P73" s="94"/>
      <c r="Q73" s="94"/>
    </row>
    <row r="74" spans="1:17" ht="15">
      <c r="A74" s="354"/>
      <c r="B74" s="94"/>
      <c r="C74" s="94"/>
      <c r="D74" s="94"/>
      <c r="E74" s="94"/>
      <c r="F74" s="94"/>
      <c r="G74" s="94"/>
      <c r="H74" s="94"/>
      <c r="I74" s="94"/>
      <c r="J74" s="94"/>
      <c r="K74" s="94"/>
      <c r="L74" s="94"/>
      <c r="M74" s="94"/>
      <c r="N74" s="94"/>
      <c r="O74" s="94"/>
      <c r="P74" s="94"/>
      <c r="Q74" s="94"/>
    </row>
    <row r="75" spans="1:17" ht="15">
      <c r="A75" s="354"/>
      <c r="B75" s="94"/>
      <c r="C75" s="94"/>
      <c r="D75" s="94"/>
      <c r="E75" s="94"/>
      <c r="F75" s="94"/>
      <c r="G75" s="94"/>
      <c r="H75" s="94"/>
      <c r="I75" s="94"/>
      <c r="J75" s="94"/>
      <c r="K75" s="94"/>
      <c r="L75" s="94"/>
      <c r="M75" s="94"/>
      <c r="N75" s="94"/>
      <c r="O75" s="94"/>
      <c r="P75" s="94"/>
      <c r="Q75" s="94"/>
    </row>
    <row r="76" spans="1:17" ht="15">
      <c r="A76" s="354"/>
      <c r="B76" s="94"/>
      <c r="C76" s="94"/>
      <c r="D76" s="94"/>
      <c r="E76" s="94"/>
      <c r="F76" s="94"/>
      <c r="G76" s="94"/>
      <c r="H76" s="94"/>
      <c r="I76" s="94"/>
      <c r="J76" s="94"/>
      <c r="K76" s="94"/>
      <c r="L76" s="94"/>
      <c r="M76" s="94"/>
      <c r="N76" s="94"/>
      <c r="O76" s="94"/>
      <c r="P76" s="94"/>
      <c r="Q76" s="94"/>
    </row>
    <row r="77" spans="1:17" ht="15">
      <c r="A77" s="354"/>
      <c r="B77" s="94"/>
      <c r="C77" s="94"/>
      <c r="D77" s="94"/>
      <c r="E77" s="94"/>
      <c r="F77" s="94"/>
      <c r="G77" s="94"/>
      <c r="H77" s="94"/>
      <c r="I77" s="94"/>
      <c r="J77" s="94"/>
      <c r="K77" s="94"/>
      <c r="L77" s="94"/>
      <c r="M77" s="94"/>
      <c r="N77" s="94"/>
      <c r="O77" s="94"/>
      <c r="P77" s="94"/>
      <c r="Q77" s="94"/>
    </row>
    <row r="78" spans="1:17" ht="15">
      <c r="A78" s="354"/>
      <c r="B78" s="94"/>
      <c r="C78" s="94"/>
      <c r="D78" s="94"/>
      <c r="E78" s="94"/>
      <c r="F78" s="94"/>
      <c r="G78" s="94"/>
      <c r="H78" s="94"/>
      <c r="I78" s="94"/>
      <c r="J78" s="94"/>
      <c r="K78" s="94"/>
      <c r="L78" s="94"/>
      <c r="M78" s="94"/>
      <c r="N78" s="94"/>
      <c r="O78" s="94"/>
      <c r="P78" s="94"/>
      <c r="Q78" s="94"/>
    </row>
    <row r="79" spans="1:17" ht="15">
      <c r="A79" s="354"/>
      <c r="B79" s="94"/>
      <c r="C79" s="94"/>
      <c r="D79" s="94"/>
      <c r="E79" s="94"/>
      <c r="F79" s="94"/>
      <c r="G79" s="94"/>
      <c r="H79" s="94"/>
      <c r="I79" s="94"/>
      <c r="J79" s="94"/>
      <c r="K79" s="94"/>
      <c r="L79" s="94"/>
      <c r="M79" s="94"/>
      <c r="N79" s="94"/>
      <c r="O79" s="94"/>
      <c r="P79" s="94"/>
      <c r="Q79" s="94"/>
    </row>
    <row r="80" spans="1:17" ht="15">
      <c r="A80" s="354"/>
      <c r="B80" s="94"/>
      <c r="C80" s="94"/>
      <c r="D80" s="94"/>
      <c r="E80" s="94"/>
      <c r="F80" s="94"/>
      <c r="G80" s="94"/>
      <c r="H80" s="94"/>
      <c r="I80" s="94"/>
      <c r="J80" s="94"/>
      <c r="K80" s="94"/>
      <c r="L80" s="94"/>
      <c r="M80" s="94"/>
      <c r="N80" s="94"/>
      <c r="O80" s="94"/>
      <c r="P80" s="94"/>
      <c r="Q80" s="94"/>
    </row>
    <row r="81" spans="1:17" ht="15">
      <c r="A81" s="354"/>
      <c r="B81" s="94"/>
      <c r="C81" s="94"/>
      <c r="D81" s="94"/>
      <c r="E81" s="94"/>
      <c r="F81" s="94"/>
      <c r="G81" s="94"/>
      <c r="H81" s="94"/>
      <c r="I81" s="94"/>
      <c r="J81" s="94"/>
      <c r="K81" s="94"/>
      <c r="L81" s="94"/>
      <c r="M81" s="94"/>
      <c r="N81" s="94"/>
      <c r="O81" s="94"/>
      <c r="P81" s="94"/>
      <c r="Q81" s="94"/>
    </row>
    <row r="82" spans="1:17" ht="15">
      <c r="A82" s="354"/>
      <c r="B82" s="94"/>
      <c r="C82" s="94"/>
      <c r="D82" s="94"/>
      <c r="E82" s="94"/>
      <c r="F82" s="94"/>
      <c r="G82" s="94"/>
      <c r="H82" s="94"/>
      <c r="I82" s="94"/>
      <c r="J82" s="94"/>
      <c r="K82" s="94"/>
      <c r="L82" s="94"/>
      <c r="M82" s="94"/>
      <c r="N82" s="94"/>
      <c r="O82" s="94"/>
      <c r="P82" s="94"/>
      <c r="Q82" s="94"/>
    </row>
    <row r="83" spans="1:17" ht="15">
      <c r="A83" s="94"/>
      <c r="B83" s="351"/>
      <c r="C83" s="351"/>
      <c r="D83" s="351"/>
      <c r="E83" s="351"/>
      <c r="F83" s="351"/>
      <c r="G83" s="351"/>
      <c r="H83" s="353"/>
      <c r="I83" s="351"/>
      <c r="J83" s="351"/>
      <c r="K83" s="351"/>
      <c r="L83" s="352"/>
      <c r="M83" s="352"/>
      <c r="N83" s="352"/>
      <c r="O83" s="94"/>
      <c r="P83" s="94"/>
      <c r="Q83" s="94"/>
    </row>
    <row r="84" spans="1:17" ht="15">
      <c r="A84" s="94"/>
      <c r="B84" s="351"/>
      <c r="C84" s="351"/>
      <c r="D84" s="351"/>
      <c r="E84" s="351"/>
      <c r="F84" s="351"/>
      <c r="G84" s="351"/>
      <c r="H84" s="353"/>
      <c r="I84" s="351"/>
      <c r="J84" s="351"/>
      <c r="K84" s="351"/>
      <c r="L84" s="352"/>
      <c r="M84" s="352"/>
      <c r="N84" s="352"/>
      <c r="O84" s="94"/>
      <c r="P84" s="94"/>
      <c r="Q84" s="94"/>
    </row>
    <row r="85" spans="1:17" ht="15">
      <c r="A85" s="94"/>
      <c r="B85" s="351"/>
      <c r="C85" s="351"/>
      <c r="D85" s="351"/>
      <c r="E85" s="351"/>
      <c r="F85" s="351"/>
      <c r="G85" s="351"/>
      <c r="H85" s="353"/>
      <c r="I85" s="351"/>
      <c r="J85" s="351"/>
      <c r="K85" s="351"/>
      <c r="L85" s="352"/>
      <c r="M85" s="352"/>
      <c r="N85" s="352"/>
      <c r="O85" s="94"/>
      <c r="P85" s="94"/>
      <c r="Q85" s="94"/>
    </row>
    <row r="86" spans="1:17" ht="15">
      <c r="A86" s="94"/>
      <c r="B86" s="351"/>
      <c r="C86" s="351"/>
      <c r="D86" s="351"/>
      <c r="E86" s="351"/>
      <c r="F86" s="351"/>
      <c r="G86" s="351"/>
      <c r="H86" s="353"/>
      <c r="I86" s="351"/>
      <c r="J86" s="351"/>
      <c r="K86" s="351"/>
      <c r="L86" s="352"/>
      <c r="M86" s="352"/>
      <c r="N86" s="352"/>
      <c r="O86" s="94"/>
      <c r="P86" s="94"/>
      <c r="Q86" s="94"/>
    </row>
    <row r="87" spans="1:17" ht="15">
      <c r="A87" s="94"/>
      <c r="B87" s="351"/>
      <c r="C87" s="351"/>
      <c r="D87" s="351"/>
      <c r="E87" s="351"/>
      <c r="F87" s="351"/>
      <c r="G87" s="351"/>
      <c r="H87" s="353"/>
      <c r="I87" s="351"/>
      <c r="J87" s="351"/>
      <c r="K87" s="351"/>
      <c r="L87" s="352"/>
      <c r="M87" s="352"/>
      <c r="N87" s="352"/>
      <c r="O87" s="94"/>
      <c r="P87" s="94"/>
      <c r="Q87" s="94"/>
    </row>
    <row r="88" spans="1:17" ht="15">
      <c r="A88" s="94"/>
      <c r="B88" s="351"/>
      <c r="C88" s="351"/>
      <c r="D88" s="351"/>
      <c r="E88" s="351"/>
      <c r="F88" s="351"/>
      <c r="G88" s="351"/>
      <c r="H88" s="353"/>
      <c r="I88" s="351"/>
      <c r="J88" s="351"/>
      <c r="K88" s="351"/>
      <c r="L88" s="352"/>
      <c r="M88" s="352"/>
      <c r="N88" s="352"/>
      <c r="O88" s="94"/>
      <c r="P88" s="94"/>
      <c r="Q88" s="94"/>
    </row>
    <row r="89" spans="1:17" ht="15">
      <c r="A89" s="94"/>
      <c r="B89" s="351"/>
      <c r="C89" s="351"/>
      <c r="D89" s="351"/>
      <c r="E89" s="351"/>
      <c r="F89" s="351"/>
      <c r="G89" s="351"/>
      <c r="H89" s="353"/>
      <c r="I89" s="351"/>
      <c r="J89" s="351"/>
      <c r="K89" s="351"/>
      <c r="L89" s="352"/>
      <c r="M89" s="352"/>
      <c r="N89" s="352"/>
      <c r="O89" s="94"/>
      <c r="P89" s="94"/>
      <c r="Q89" s="94"/>
    </row>
    <row r="90" spans="1:17" ht="15">
      <c r="A90" s="94"/>
      <c r="B90" s="351"/>
      <c r="C90" s="351"/>
      <c r="D90" s="351"/>
      <c r="E90" s="351"/>
      <c r="F90" s="351"/>
      <c r="G90" s="351"/>
      <c r="H90" s="353"/>
      <c r="I90" s="351"/>
      <c r="J90" s="351"/>
      <c r="K90" s="351"/>
      <c r="L90" s="352"/>
      <c r="M90" s="352"/>
      <c r="N90" s="352"/>
      <c r="O90" s="94"/>
      <c r="P90" s="94"/>
      <c r="Q90" s="94"/>
    </row>
    <row r="91" spans="1:17" ht="15">
      <c r="A91" s="94"/>
      <c r="B91" s="351"/>
      <c r="C91" s="351"/>
      <c r="D91" s="351"/>
      <c r="E91" s="351"/>
      <c r="F91" s="351"/>
      <c r="G91" s="351"/>
      <c r="H91" s="353"/>
      <c r="I91" s="351"/>
      <c r="J91" s="351"/>
      <c r="K91" s="351"/>
      <c r="L91" s="352"/>
      <c r="M91" s="352"/>
      <c r="N91" s="352"/>
      <c r="O91" s="94"/>
      <c r="P91" s="94"/>
      <c r="Q91" s="94"/>
    </row>
    <row r="92" spans="1:17" ht="15">
      <c r="A92" s="94"/>
      <c r="B92" s="351"/>
      <c r="C92" s="351"/>
      <c r="D92" s="351"/>
      <c r="E92" s="351"/>
      <c r="F92" s="351"/>
      <c r="G92" s="351"/>
      <c r="H92" s="353"/>
      <c r="I92" s="351"/>
      <c r="J92" s="351"/>
      <c r="K92" s="351"/>
      <c r="L92" s="352"/>
      <c r="M92" s="352"/>
      <c r="N92" s="352"/>
      <c r="O92" s="94"/>
      <c r="P92" s="94"/>
      <c r="Q92" s="94"/>
    </row>
    <row r="93" spans="1:17" ht="15">
      <c r="A93" s="94"/>
      <c r="B93" s="351"/>
      <c r="C93" s="351"/>
      <c r="D93" s="351"/>
      <c r="E93" s="351"/>
      <c r="F93" s="351"/>
      <c r="G93" s="351"/>
      <c r="H93" s="353"/>
      <c r="I93" s="351"/>
      <c r="J93" s="351"/>
      <c r="K93" s="351"/>
      <c r="L93" s="352"/>
      <c r="M93" s="352"/>
      <c r="N93" s="352"/>
      <c r="O93" s="94"/>
      <c r="P93" s="94"/>
      <c r="Q93" s="94"/>
    </row>
    <row r="94" spans="1:17" ht="15">
      <c r="A94" s="94"/>
      <c r="B94" s="351"/>
      <c r="C94" s="351"/>
      <c r="D94" s="351"/>
      <c r="E94" s="351"/>
      <c r="F94" s="351"/>
      <c r="G94" s="351"/>
      <c r="H94" s="353"/>
      <c r="I94" s="351"/>
      <c r="J94" s="351"/>
      <c r="K94" s="351"/>
      <c r="L94" s="352"/>
      <c r="M94" s="352"/>
      <c r="N94" s="352"/>
      <c r="O94" s="94"/>
      <c r="P94" s="94"/>
      <c r="Q94" s="94"/>
    </row>
    <row r="95" spans="1:17" ht="15">
      <c r="A95" s="94"/>
      <c r="B95" s="351"/>
      <c r="C95" s="351"/>
      <c r="D95" s="351"/>
      <c r="E95" s="351"/>
      <c r="F95" s="351"/>
      <c r="G95" s="351"/>
      <c r="H95" s="353"/>
      <c r="I95" s="351"/>
      <c r="J95" s="351"/>
      <c r="K95" s="351"/>
      <c r="L95" s="352"/>
      <c r="M95" s="352"/>
      <c r="N95" s="352"/>
      <c r="O95" s="94"/>
      <c r="P95" s="94"/>
      <c r="Q95" s="94"/>
    </row>
    <row r="96" spans="1:17" ht="15">
      <c r="A96" s="94"/>
      <c r="B96" s="351"/>
      <c r="C96" s="351"/>
      <c r="D96" s="351"/>
      <c r="E96" s="351"/>
      <c r="F96" s="351"/>
      <c r="G96" s="351"/>
      <c r="H96" s="353"/>
      <c r="I96" s="351"/>
      <c r="J96" s="351"/>
      <c r="K96" s="351"/>
      <c r="L96" s="352"/>
      <c r="M96" s="352"/>
      <c r="N96" s="352"/>
      <c r="O96" s="94"/>
      <c r="P96" s="94"/>
      <c r="Q96" s="94"/>
    </row>
    <row r="97" spans="1:17" ht="15">
      <c r="A97" s="94"/>
      <c r="B97" s="351"/>
      <c r="C97" s="351"/>
      <c r="D97" s="351"/>
      <c r="E97" s="351"/>
      <c r="F97" s="351"/>
      <c r="G97" s="351"/>
      <c r="H97" s="353"/>
      <c r="I97" s="351"/>
      <c r="J97" s="351"/>
      <c r="K97" s="351"/>
      <c r="L97" s="352"/>
      <c r="M97" s="352"/>
      <c r="N97" s="352"/>
      <c r="O97" s="94"/>
      <c r="P97" s="94"/>
      <c r="Q97" s="94"/>
    </row>
    <row r="98" spans="1:17" ht="15">
      <c r="A98" s="94"/>
      <c r="B98" s="351"/>
      <c r="C98" s="351"/>
      <c r="D98" s="351"/>
      <c r="E98" s="351"/>
      <c r="F98" s="351"/>
      <c r="G98" s="351"/>
      <c r="H98" s="353"/>
      <c r="I98" s="351"/>
      <c r="J98" s="351"/>
      <c r="K98" s="351"/>
      <c r="L98" s="352"/>
      <c r="M98" s="352"/>
      <c r="N98" s="352"/>
      <c r="O98" s="94"/>
      <c r="P98" s="94"/>
      <c r="Q98" s="94"/>
    </row>
    <row r="99" spans="1:17" ht="15">
      <c r="A99" s="94"/>
      <c r="B99" s="351"/>
      <c r="C99" s="351"/>
      <c r="D99" s="351"/>
      <c r="E99" s="351"/>
      <c r="F99" s="351"/>
      <c r="G99" s="351"/>
      <c r="H99" s="353"/>
      <c r="I99" s="351"/>
      <c r="J99" s="351"/>
      <c r="K99" s="351"/>
      <c r="L99" s="352"/>
      <c r="M99" s="352"/>
      <c r="N99" s="352"/>
      <c r="O99" s="94"/>
      <c r="P99" s="94"/>
      <c r="Q99" s="94"/>
    </row>
    <row r="100" spans="1:17" ht="15">
      <c r="A100" s="94"/>
      <c r="B100" s="351"/>
      <c r="C100" s="351"/>
      <c r="D100" s="351"/>
      <c r="E100" s="351"/>
      <c r="F100" s="351"/>
      <c r="G100" s="351"/>
      <c r="H100" s="353"/>
      <c r="I100" s="351"/>
      <c r="J100" s="351"/>
      <c r="K100" s="351"/>
      <c r="L100" s="352"/>
      <c r="M100" s="352"/>
      <c r="N100" s="352"/>
      <c r="O100" s="94"/>
      <c r="P100" s="94"/>
      <c r="Q100" s="94"/>
    </row>
    <row r="101" spans="1:17" ht="15">
      <c r="A101" s="94"/>
      <c r="B101" s="351"/>
      <c r="C101" s="351"/>
      <c r="D101" s="351"/>
      <c r="E101" s="351"/>
      <c r="F101" s="351"/>
      <c r="G101" s="351"/>
      <c r="H101" s="353"/>
      <c r="I101" s="351"/>
      <c r="J101" s="351"/>
      <c r="K101" s="351"/>
      <c r="L101" s="352"/>
      <c r="M101" s="352"/>
      <c r="N101" s="352"/>
      <c r="O101" s="94"/>
      <c r="P101" s="94"/>
      <c r="Q101" s="94"/>
    </row>
    <row r="102" spans="1:17" ht="15">
      <c r="A102" s="94"/>
      <c r="B102" s="351"/>
      <c r="C102" s="351"/>
      <c r="D102" s="351"/>
      <c r="E102" s="351"/>
      <c r="F102" s="351"/>
      <c r="G102" s="351"/>
      <c r="H102" s="353"/>
      <c r="I102" s="351"/>
      <c r="J102" s="351"/>
      <c r="K102" s="351"/>
      <c r="L102" s="352"/>
      <c r="M102" s="352"/>
      <c r="N102" s="352"/>
      <c r="O102" s="94"/>
      <c r="P102" s="94"/>
      <c r="Q102" s="94"/>
    </row>
    <row r="103" spans="1:17" ht="15">
      <c r="A103" s="94"/>
      <c r="B103" s="351"/>
      <c r="C103" s="351"/>
      <c r="D103" s="351"/>
      <c r="E103" s="351"/>
      <c r="F103" s="351"/>
      <c r="G103" s="351"/>
      <c r="H103" s="353"/>
      <c r="I103" s="351"/>
      <c r="J103" s="351"/>
      <c r="K103" s="351"/>
      <c r="L103" s="352"/>
      <c r="M103" s="352"/>
      <c r="N103" s="352"/>
      <c r="O103" s="94"/>
      <c r="P103" s="94"/>
      <c r="Q103" s="94"/>
    </row>
    <row r="104" spans="1:17" ht="15">
      <c r="A104" s="94"/>
      <c r="B104" s="351"/>
      <c r="C104" s="351"/>
      <c r="D104" s="351"/>
      <c r="E104" s="351"/>
      <c r="F104" s="351"/>
      <c r="G104" s="351"/>
      <c r="H104" s="353"/>
      <c r="I104" s="351"/>
      <c r="J104" s="351"/>
      <c r="K104" s="351"/>
      <c r="L104" s="352"/>
      <c r="M104" s="352"/>
      <c r="N104" s="352"/>
      <c r="O104" s="94"/>
      <c r="P104" s="94"/>
      <c r="Q104" s="94"/>
    </row>
    <row r="105" spans="1:17" ht="15">
      <c r="A105" s="94"/>
      <c r="B105" s="351"/>
      <c r="C105" s="351"/>
      <c r="D105" s="351"/>
      <c r="E105" s="351"/>
      <c r="F105" s="351"/>
      <c r="G105" s="351"/>
      <c r="H105" s="353"/>
      <c r="I105" s="351"/>
      <c r="J105" s="351"/>
      <c r="K105" s="351"/>
      <c r="L105" s="352"/>
      <c r="M105" s="352"/>
      <c r="N105" s="352"/>
      <c r="O105" s="94"/>
      <c r="P105" s="94"/>
      <c r="Q105" s="94"/>
    </row>
    <row r="106" spans="1:17" ht="15">
      <c r="A106" s="94"/>
      <c r="B106" s="351"/>
      <c r="C106" s="351"/>
      <c r="D106" s="351"/>
      <c r="E106" s="351"/>
      <c r="F106" s="351"/>
      <c r="G106" s="351"/>
      <c r="H106" s="353"/>
      <c r="I106" s="351"/>
      <c r="J106" s="351"/>
      <c r="K106" s="351"/>
      <c r="L106" s="352"/>
      <c r="M106" s="352"/>
      <c r="N106" s="352"/>
      <c r="O106" s="94"/>
      <c r="P106" s="94"/>
      <c r="Q106" s="94"/>
    </row>
    <row r="107" spans="1:17" ht="15">
      <c r="A107" s="94"/>
      <c r="B107" s="351"/>
      <c r="C107" s="351"/>
      <c r="D107" s="351"/>
      <c r="E107" s="351"/>
      <c r="F107" s="351"/>
      <c r="G107" s="351"/>
      <c r="H107" s="353"/>
      <c r="I107" s="351"/>
      <c r="J107" s="351"/>
      <c r="K107" s="351"/>
      <c r="L107" s="352"/>
      <c r="M107" s="352"/>
      <c r="N107" s="352"/>
      <c r="O107" s="94"/>
      <c r="P107" s="94"/>
      <c r="Q107" s="94"/>
    </row>
    <row r="108" spans="1:17" ht="15">
      <c r="A108" s="94"/>
      <c r="B108" s="351"/>
      <c r="C108" s="351"/>
      <c r="D108" s="351"/>
      <c r="E108" s="351"/>
      <c r="F108" s="351"/>
      <c r="G108" s="351"/>
      <c r="H108" s="353"/>
      <c r="I108" s="351"/>
      <c r="J108" s="351"/>
      <c r="K108" s="351"/>
      <c r="L108" s="352"/>
      <c r="M108" s="352"/>
      <c r="N108" s="352"/>
      <c r="O108" s="94"/>
      <c r="P108" s="94"/>
      <c r="Q108" s="94"/>
    </row>
    <row r="109" spans="1:17" ht="15">
      <c r="A109" s="94"/>
      <c r="B109" s="351"/>
      <c r="C109" s="351"/>
      <c r="D109" s="351"/>
      <c r="E109" s="351"/>
      <c r="F109" s="351"/>
      <c r="G109" s="351"/>
      <c r="H109" s="353"/>
      <c r="I109" s="351"/>
      <c r="J109" s="351"/>
      <c r="K109" s="351"/>
      <c r="L109" s="352"/>
      <c r="M109" s="352"/>
      <c r="N109" s="352"/>
      <c r="O109" s="94"/>
      <c r="P109" s="94"/>
      <c r="Q109" s="94"/>
    </row>
    <row r="110" spans="1:17" ht="15">
      <c r="A110" s="94"/>
      <c r="B110" s="351"/>
      <c r="C110" s="351"/>
      <c r="D110" s="351"/>
      <c r="E110" s="351"/>
      <c r="F110" s="351"/>
      <c r="G110" s="351"/>
      <c r="H110" s="353"/>
      <c r="I110" s="351"/>
      <c r="J110" s="351"/>
      <c r="K110" s="351"/>
      <c r="L110" s="352"/>
      <c r="M110" s="352"/>
      <c r="N110" s="352"/>
      <c r="O110" s="94"/>
      <c r="P110" s="94"/>
      <c r="Q110" s="94"/>
    </row>
    <row r="111" spans="1:17" ht="15">
      <c r="A111" s="94"/>
      <c r="B111" s="351"/>
      <c r="C111" s="351"/>
      <c r="D111" s="351"/>
      <c r="E111" s="351"/>
      <c r="F111" s="351"/>
      <c r="G111" s="351"/>
      <c r="H111" s="353"/>
      <c r="I111" s="351"/>
      <c r="J111" s="351"/>
      <c r="K111" s="351"/>
      <c r="L111" s="352"/>
      <c r="M111" s="352"/>
      <c r="N111" s="352"/>
      <c r="O111" s="94"/>
      <c r="P111" s="94"/>
      <c r="Q111" s="94"/>
    </row>
    <row r="112" spans="1:17" ht="15">
      <c r="A112" s="94"/>
      <c r="B112" s="351"/>
      <c r="C112" s="351"/>
      <c r="D112" s="351"/>
      <c r="E112" s="351"/>
      <c r="F112" s="351"/>
      <c r="G112" s="351"/>
      <c r="H112" s="353"/>
      <c r="I112" s="351"/>
      <c r="J112" s="351"/>
      <c r="K112" s="351"/>
      <c r="L112" s="352"/>
      <c r="M112" s="352"/>
      <c r="N112" s="352"/>
      <c r="O112" s="94"/>
      <c r="P112" s="94"/>
      <c r="Q112" s="94"/>
    </row>
    <row r="113" spans="1:17" ht="15">
      <c r="A113" s="94"/>
      <c r="B113" s="351"/>
      <c r="C113" s="351"/>
      <c r="D113" s="351"/>
      <c r="E113" s="351"/>
      <c r="F113" s="351"/>
      <c r="G113" s="351"/>
      <c r="H113" s="353"/>
      <c r="I113" s="351"/>
      <c r="J113" s="351"/>
      <c r="K113" s="351"/>
      <c r="L113" s="352"/>
      <c r="M113" s="352"/>
      <c r="N113" s="352"/>
      <c r="O113" s="94"/>
      <c r="P113" s="94"/>
      <c r="Q113" s="94"/>
    </row>
    <row r="114" spans="1:17" ht="15">
      <c r="A114" s="94"/>
      <c r="B114" s="351"/>
      <c r="C114" s="351"/>
      <c r="D114" s="351"/>
      <c r="E114" s="351"/>
      <c r="F114" s="351"/>
      <c r="G114" s="351"/>
      <c r="H114" s="353"/>
      <c r="I114" s="351"/>
      <c r="J114" s="351"/>
      <c r="K114" s="351"/>
      <c r="L114" s="352"/>
      <c r="M114" s="352"/>
      <c r="N114" s="352"/>
      <c r="O114" s="94"/>
      <c r="P114" s="94"/>
      <c r="Q114" s="94"/>
    </row>
    <row r="115" spans="1:17" ht="15">
      <c r="A115" s="94"/>
      <c r="B115" s="351"/>
      <c r="C115" s="351"/>
      <c r="D115" s="351"/>
      <c r="E115" s="351"/>
      <c r="F115" s="351"/>
      <c r="G115" s="351"/>
      <c r="H115" s="353"/>
      <c r="I115" s="351"/>
      <c r="J115" s="351"/>
      <c r="K115" s="351"/>
      <c r="L115" s="352"/>
      <c r="M115" s="352"/>
      <c r="N115" s="352"/>
      <c r="O115" s="94"/>
      <c r="P115" s="94"/>
      <c r="Q115" s="94"/>
    </row>
    <row r="116" spans="1:17" ht="15">
      <c r="A116" s="94"/>
      <c r="B116" s="351"/>
      <c r="C116" s="351"/>
      <c r="D116" s="351"/>
      <c r="E116" s="351"/>
      <c r="F116" s="351"/>
      <c r="G116" s="351"/>
      <c r="H116" s="353"/>
      <c r="I116" s="351"/>
      <c r="J116" s="351"/>
      <c r="K116" s="351"/>
      <c r="L116" s="352"/>
      <c r="M116" s="352"/>
      <c r="N116" s="352"/>
      <c r="O116" s="94"/>
      <c r="P116" s="94"/>
      <c r="Q116" s="94"/>
    </row>
    <row r="117" spans="1:17" ht="15">
      <c r="A117" s="94"/>
      <c r="B117" s="351"/>
      <c r="C117" s="351"/>
      <c r="D117" s="351"/>
      <c r="E117" s="351"/>
      <c r="F117" s="351"/>
      <c r="G117" s="351"/>
      <c r="H117" s="353"/>
      <c r="I117" s="351"/>
      <c r="J117" s="351"/>
      <c r="K117" s="351"/>
      <c r="L117" s="352"/>
      <c r="M117" s="352"/>
      <c r="N117" s="352"/>
      <c r="O117" s="94"/>
      <c r="P117" s="94"/>
      <c r="Q117" s="94"/>
    </row>
    <row r="118" spans="1:17" ht="15">
      <c r="A118" s="94"/>
      <c r="B118" s="351"/>
      <c r="C118" s="351"/>
      <c r="D118" s="351"/>
      <c r="E118" s="351"/>
      <c r="F118" s="351"/>
      <c r="G118" s="351"/>
      <c r="H118" s="353"/>
      <c r="I118" s="351"/>
      <c r="J118" s="351"/>
      <c r="K118" s="351"/>
      <c r="L118" s="352"/>
      <c r="M118" s="352"/>
      <c r="N118" s="352"/>
      <c r="O118" s="94"/>
      <c r="P118" s="94"/>
      <c r="Q118" s="94"/>
    </row>
    <row r="119" spans="1:17" ht="15">
      <c r="A119" s="94"/>
      <c r="B119" s="351"/>
      <c r="C119" s="351"/>
      <c r="D119" s="351"/>
      <c r="E119" s="351"/>
      <c r="F119" s="351"/>
      <c r="G119" s="351"/>
      <c r="H119" s="353"/>
      <c r="I119" s="351"/>
      <c r="J119" s="351"/>
      <c r="K119" s="351"/>
      <c r="L119" s="352"/>
      <c r="M119" s="352"/>
      <c r="N119" s="352"/>
      <c r="O119" s="94"/>
      <c r="P119" s="94"/>
      <c r="Q119" s="94"/>
    </row>
    <row r="120" spans="1:17" ht="15">
      <c r="A120" s="94"/>
      <c r="B120" s="351"/>
      <c r="C120" s="351"/>
      <c r="D120" s="351"/>
      <c r="E120" s="351"/>
      <c r="F120" s="351"/>
      <c r="G120" s="351"/>
      <c r="H120" s="353"/>
      <c r="I120" s="351"/>
      <c r="J120" s="351"/>
      <c r="K120" s="351"/>
      <c r="L120" s="352"/>
      <c r="M120" s="352"/>
      <c r="N120" s="352"/>
      <c r="O120" s="94"/>
      <c r="P120" s="94"/>
      <c r="Q120" s="94"/>
    </row>
    <row r="121" spans="1:17">
      <c r="H121"/>
      <c r="I121"/>
      <c r="J121"/>
      <c r="K121"/>
      <c r="L121"/>
      <c r="M121"/>
      <c r="N121"/>
    </row>
    <row r="122" spans="1:17">
      <c r="H122"/>
      <c r="I122"/>
      <c r="J122"/>
      <c r="K122"/>
      <c r="L122"/>
      <c r="M122"/>
      <c r="N122"/>
    </row>
    <row r="123" spans="1:17">
      <c r="H123"/>
      <c r="I123"/>
      <c r="J123"/>
      <c r="K123"/>
      <c r="L123"/>
      <c r="M123"/>
      <c r="N123"/>
    </row>
    <row r="124" spans="1:17">
      <c r="H124"/>
      <c r="I124"/>
      <c r="J124"/>
      <c r="K124"/>
      <c r="L124"/>
      <c r="M124"/>
      <c r="N124"/>
    </row>
    <row r="125" spans="1:17">
      <c r="H125"/>
      <c r="I125"/>
      <c r="J125"/>
      <c r="K125"/>
      <c r="L125"/>
      <c r="M125"/>
      <c r="N125"/>
    </row>
    <row r="126" spans="1:17">
      <c r="H126"/>
      <c r="I126"/>
      <c r="J126"/>
      <c r="K126"/>
      <c r="L126"/>
      <c r="M126"/>
      <c r="N126"/>
    </row>
    <row r="127" spans="1:17">
      <c r="H127"/>
      <c r="I127"/>
      <c r="J127"/>
      <c r="K127"/>
      <c r="L127"/>
      <c r="M127"/>
      <c r="N127"/>
    </row>
    <row r="128" spans="1:17">
      <c r="H128"/>
      <c r="I128"/>
      <c r="J128"/>
      <c r="K128"/>
      <c r="L128"/>
      <c r="M128"/>
      <c r="N128"/>
    </row>
    <row r="129" spans="8:14">
      <c r="H129"/>
      <c r="I129"/>
      <c r="J129"/>
      <c r="K129"/>
      <c r="L129"/>
      <c r="M129"/>
      <c r="N129"/>
    </row>
    <row r="130" spans="8:14">
      <c r="H130"/>
      <c r="I130"/>
      <c r="J130"/>
      <c r="K130"/>
      <c r="L130"/>
      <c r="M130"/>
      <c r="N130"/>
    </row>
    <row r="131" spans="8:14">
      <c r="H131"/>
      <c r="I131"/>
      <c r="J131"/>
      <c r="K131"/>
      <c r="L131"/>
      <c r="M131"/>
      <c r="N131"/>
    </row>
    <row r="132" spans="8:14">
      <c r="H132"/>
      <c r="I132"/>
      <c r="J132"/>
      <c r="K132"/>
      <c r="L132"/>
      <c r="M132"/>
      <c r="N132"/>
    </row>
    <row r="133" spans="8:14">
      <c r="H133"/>
      <c r="I133"/>
      <c r="J133"/>
      <c r="K133"/>
      <c r="L133"/>
      <c r="M133"/>
      <c r="N133"/>
    </row>
    <row r="134" spans="8:14">
      <c r="H134"/>
      <c r="I134"/>
      <c r="J134"/>
      <c r="K134"/>
      <c r="L134"/>
      <c r="M134"/>
      <c r="N134"/>
    </row>
    <row r="135" spans="8:14">
      <c r="H135"/>
      <c r="I135"/>
      <c r="J135"/>
      <c r="K135"/>
      <c r="L135"/>
      <c r="M135"/>
      <c r="N135"/>
    </row>
    <row r="136" spans="8:14">
      <c r="H136"/>
      <c r="I136"/>
      <c r="J136"/>
      <c r="K136"/>
      <c r="L136"/>
      <c r="M136"/>
      <c r="N136"/>
    </row>
    <row r="137" spans="8:14">
      <c r="H137"/>
      <c r="I137"/>
      <c r="J137"/>
      <c r="K137"/>
      <c r="L137"/>
      <c r="M137"/>
      <c r="N137"/>
    </row>
  </sheetData>
  <sheetProtection algorithmName="SHA-512" hashValue="vg5SloojevtZ+hdm0jfj+9vJU8Vj80jPjfNDeeiHzNUYVztT+5ygxNykI0aYqS/x0rnWPZQTIFhhVIfwQRYI5g==" saltValue="FR1Epw9A+64lIaRSw9q/4Q==" spinCount="100000" sheet="1" objects="1" scenarios="1"/>
  <protectedRanges>
    <protectedRange sqref="K18 I18" name="Intervalo1"/>
    <protectedRange sqref="A19:A26" name="Intervalo1_1"/>
  </protectedRanges>
  <mergeCells count="63">
    <mergeCell ref="A1:K1"/>
    <mergeCell ref="A3:K3"/>
    <mergeCell ref="A25:C25"/>
    <mergeCell ref="F25:K25"/>
    <mergeCell ref="P6:P9"/>
    <mergeCell ref="P11:P12"/>
    <mergeCell ref="P13:P14"/>
    <mergeCell ref="K6:K9"/>
    <mergeCell ref="K11:K12"/>
    <mergeCell ref="K13:K14"/>
    <mergeCell ref="F6:F9"/>
    <mergeCell ref="F11:F12"/>
    <mergeCell ref="F13:F14"/>
    <mergeCell ref="I11:I12"/>
    <mergeCell ref="I6:I9"/>
    <mergeCell ref="I13:I14"/>
    <mergeCell ref="O6:O9"/>
    <mergeCell ref="O11:O12"/>
    <mergeCell ref="O13:O14"/>
    <mergeCell ref="I18:J18"/>
    <mergeCell ref="A19:K19"/>
    <mergeCell ref="A20:C20"/>
    <mergeCell ref="A23:C23"/>
    <mergeCell ref="F23:K23"/>
    <mergeCell ref="F20:K20"/>
    <mergeCell ref="A21:C21"/>
    <mergeCell ref="F21:K21"/>
    <mergeCell ref="A22:C22"/>
    <mergeCell ref="F22:K22"/>
    <mergeCell ref="A27:C27"/>
    <mergeCell ref="F27:K27"/>
    <mergeCell ref="A28:C28"/>
    <mergeCell ref="F28:K28"/>
    <mergeCell ref="A26:C26"/>
    <mergeCell ref="F26:K26"/>
    <mergeCell ref="A29:C29"/>
    <mergeCell ref="F29:K29"/>
    <mergeCell ref="A30:C30"/>
    <mergeCell ref="F30:K30"/>
    <mergeCell ref="A31:C31"/>
    <mergeCell ref="F31:K31"/>
    <mergeCell ref="A34:K34"/>
    <mergeCell ref="A35:K35"/>
    <mergeCell ref="A36:C36"/>
    <mergeCell ref="F36:K36"/>
    <mergeCell ref="A32:C32"/>
    <mergeCell ref="F32:K32"/>
    <mergeCell ref="A5:K5"/>
    <mergeCell ref="A17:H17"/>
    <mergeCell ref="A40:C40"/>
    <mergeCell ref="F40:K40"/>
    <mergeCell ref="A41:C41"/>
    <mergeCell ref="F41:K41"/>
    <mergeCell ref="F24:K24"/>
    <mergeCell ref="A24:C24"/>
    <mergeCell ref="A37:C37"/>
    <mergeCell ref="F37:K37"/>
    <mergeCell ref="A38:C38"/>
    <mergeCell ref="F38:K38"/>
    <mergeCell ref="A39:C39"/>
    <mergeCell ref="F39:K39"/>
    <mergeCell ref="A33:C33"/>
    <mergeCell ref="F33:K33"/>
  </mergeCells>
  <printOptions horizontalCentered="1"/>
  <pageMargins left="0.39370078740157483" right="0.39370078740157483" top="1.1811023622047245" bottom="0.78740157480314965" header="0.19685039370078741" footer="0.19685039370078741"/>
  <pageSetup paperSize="9" scale="76" fitToHeight="0" orientation="landscape" r:id="rId1"/>
  <headerFooter scaleWithDoc="0">
    <oddHeader>&amp;L&amp;G&amp;RPagina&amp;P &amp;A</oddHeader>
  </headerFooter>
  <colBreaks count="1" manualBreakCount="1">
    <brk id="13" max="31" man="1"/>
  </colBreaks>
  <drawing r:id="rId2"/>
  <legacyDrawing r:id="rId3"/>
  <legacyDrawingHF r:id="rId4"/>
  <oleObjects>
    <mc:AlternateContent xmlns:mc="http://schemas.openxmlformats.org/markup-compatibility/2006">
      <mc:Choice Requires="x14">
        <oleObject progId="CorelDraw.Graphic.18" shapeId="20481" r:id="rId5">
          <objectPr defaultSize="0" autoPict="0" r:id="rId6">
            <anchor moveWithCells="1">
              <from>
                <xdr:col>1</xdr:col>
                <xdr:colOff>600075</xdr:colOff>
                <xdr:row>0</xdr:row>
                <xdr:rowOff>114300</xdr:rowOff>
              </from>
              <to>
                <xdr:col>2</xdr:col>
                <xdr:colOff>400050</xdr:colOff>
                <xdr:row>0</xdr:row>
                <xdr:rowOff>647700</xdr:rowOff>
              </to>
            </anchor>
          </objectPr>
        </oleObject>
      </mc:Choice>
      <mc:Fallback>
        <oleObject progId="CorelDraw.Graphic.18" shapeId="20481" r:id="rId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839CF-7BE5-406A-A0FF-38F8D247F0A3}">
  <dimension ref="A1:T60"/>
  <sheetViews>
    <sheetView view="pageBreakPreview" zoomScale="85" zoomScaleNormal="55" zoomScaleSheetLayoutView="85" workbookViewId="0">
      <selection activeCell="G7" sqref="G7"/>
    </sheetView>
  </sheetViews>
  <sheetFormatPr defaultRowHeight="14.25"/>
  <cols>
    <col min="1" max="1" width="15.625" style="51" customWidth="1"/>
    <col min="2" max="2" width="17" style="51" customWidth="1"/>
    <col min="3" max="3" width="23.375" style="51" customWidth="1"/>
    <col min="4" max="4" width="15.125" style="51" bestFit="1" customWidth="1"/>
    <col min="5" max="5" width="15.75" style="51" bestFit="1" customWidth="1"/>
    <col min="6" max="6" width="11.125" style="51" customWidth="1"/>
    <col min="7" max="7" width="45.625" style="51" customWidth="1"/>
    <col min="8" max="8" width="46.75" style="51" customWidth="1"/>
    <col min="9" max="9" width="13.25" style="51" bestFit="1" customWidth="1"/>
    <col min="10" max="10" width="11.25" style="51" customWidth="1"/>
    <col min="11" max="11" width="19" style="51" bestFit="1" customWidth="1"/>
    <col min="12" max="16384" width="9" style="51"/>
  </cols>
  <sheetData>
    <row r="1" spans="1:20" ht="22.5" customHeight="1">
      <c r="A1" s="967" t="s">
        <v>371</v>
      </c>
      <c r="B1" s="968"/>
      <c r="C1" s="968"/>
      <c r="D1" s="968"/>
      <c r="E1" s="968"/>
      <c r="F1" s="968"/>
      <c r="G1" s="968"/>
      <c r="H1" s="968"/>
    </row>
    <row r="2" spans="1:20" ht="14.25" customHeight="1">
      <c r="A2" s="967"/>
      <c r="B2" s="968"/>
      <c r="C2" s="968"/>
      <c r="D2" s="968"/>
      <c r="E2" s="968"/>
      <c r="F2" s="968"/>
      <c r="G2" s="968"/>
      <c r="H2" s="968"/>
    </row>
    <row r="3" spans="1:20" ht="24" customHeight="1" thickBot="1">
      <c r="A3" s="969"/>
      <c r="B3" s="970"/>
      <c r="C3" s="970"/>
      <c r="D3" s="970"/>
      <c r="E3" s="970"/>
      <c r="F3" s="970"/>
      <c r="G3" s="970"/>
      <c r="H3" s="970"/>
    </row>
    <row r="4" spans="1:20" ht="15.75" thickBot="1">
      <c r="A4" s="446" t="s">
        <v>249</v>
      </c>
      <c r="B4" s="447" t="s">
        <v>250</v>
      </c>
      <c r="C4" s="447" t="s">
        <v>251</v>
      </c>
      <c r="D4" s="447"/>
      <c r="E4" s="447" t="s">
        <v>252</v>
      </c>
      <c r="F4" s="447" t="s">
        <v>17</v>
      </c>
      <c r="G4" s="608" t="s">
        <v>555</v>
      </c>
      <c r="H4" s="608" t="s">
        <v>556</v>
      </c>
    </row>
    <row r="5" spans="1:20" ht="120">
      <c r="A5" s="1004" t="s">
        <v>375</v>
      </c>
      <c r="B5" s="976" t="s">
        <v>336</v>
      </c>
      <c r="C5" s="978" t="s">
        <v>253</v>
      </c>
      <c r="D5" s="609" t="s">
        <v>254</v>
      </c>
      <c r="E5" s="520">
        <v>0</v>
      </c>
      <c r="F5" s="609" t="s">
        <v>255</v>
      </c>
      <c r="G5" s="610" t="s">
        <v>607</v>
      </c>
      <c r="H5" s="629"/>
      <c r="I5" s="62"/>
      <c r="J5" s="62"/>
      <c r="K5" s="62"/>
      <c r="L5" s="62"/>
      <c r="M5" s="62"/>
      <c r="N5" s="62"/>
      <c r="O5" s="62"/>
      <c r="P5" s="62"/>
      <c r="Q5" s="62"/>
      <c r="R5" s="62"/>
      <c r="S5" s="62"/>
      <c r="T5" s="62"/>
    </row>
    <row r="6" spans="1:20" ht="15">
      <c r="A6" s="1005"/>
      <c r="B6" s="977"/>
      <c r="C6" s="975"/>
      <c r="D6" s="611" t="s">
        <v>256</v>
      </c>
      <c r="E6" s="521">
        <f>E5*30%</f>
        <v>0</v>
      </c>
      <c r="F6" s="611" t="s">
        <v>255</v>
      </c>
      <c r="G6" s="612" t="s">
        <v>608</v>
      </c>
      <c r="H6" s="630"/>
      <c r="I6" s="62"/>
      <c r="J6" s="62"/>
      <c r="K6" s="62"/>
      <c r="L6" s="62"/>
      <c r="M6" s="62"/>
      <c r="N6" s="62"/>
      <c r="O6" s="62"/>
      <c r="P6" s="62"/>
      <c r="Q6" s="62"/>
      <c r="R6" s="62"/>
      <c r="S6" s="62"/>
      <c r="T6" s="62"/>
    </row>
    <row r="7" spans="1:20" ht="90">
      <c r="A7" s="1005"/>
      <c r="B7" s="977"/>
      <c r="C7" s="975" t="s">
        <v>257</v>
      </c>
      <c r="D7" s="611" t="s">
        <v>254</v>
      </c>
      <c r="E7" s="521">
        <f>E5*20%</f>
        <v>0</v>
      </c>
      <c r="F7" s="611" t="s">
        <v>255</v>
      </c>
      <c r="G7" s="612" t="s">
        <v>258</v>
      </c>
      <c r="H7" s="630"/>
      <c r="I7" s="62"/>
      <c r="J7" s="62"/>
      <c r="K7" s="62"/>
      <c r="L7" s="62"/>
      <c r="M7" s="62"/>
      <c r="N7" s="62"/>
      <c r="O7" s="62"/>
      <c r="P7" s="62"/>
      <c r="Q7" s="62"/>
      <c r="R7" s="62"/>
      <c r="S7" s="62"/>
      <c r="T7" s="62"/>
    </row>
    <row r="8" spans="1:20" ht="15">
      <c r="A8" s="1005"/>
      <c r="B8" s="977"/>
      <c r="C8" s="975"/>
      <c r="D8" s="611" t="s">
        <v>256</v>
      </c>
      <c r="E8" s="521">
        <f>E6*20%</f>
        <v>0</v>
      </c>
      <c r="F8" s="611" t="s">
        <v>255</v>
      </c>
      <c r="G8" s="613" t="s">
        <v>259</v>
      </c>
      <c r="H8" s="631"/>
      <c r="I8" s="62"/>
      <c r="J8" s="64"/>
      <c r="K8" s="64"/>
      <c r="L8" s="62"/>
      <c r="M8" s="62"/>
      <c r="N8" s="62"/>
      <c r="O8" s="62"/>
      <c r="P8" s="62"/>
      <c r="Q8" s="62"/>
      <c r="R8" s="62"/>
      <c r="S8" s="62"/>
      <c r="T8" s="62"/>
    </row>
    <row r="9" spans="1:20" ht="15">
      <c r="A9" s="1005"/>
      <c r="B9" s="977"/>
      <c r="C9" s="975" t="s">
        <v>260</v>
      </c>
      <c r="D9" s="609" t="s">
        <v>254</v>
      </c>
      <c r="E9" s="522">
        <v>0</v>
      </c>
      <c r="F9" s="611" t="s">
        <v>261</v>
      </c>
      <c r="G9" s="979" t="s">
        <v>262</v>
      </c>
      <c r="H9" s="973"/>
      <c r="I9" s="62"/>
      <c r="J9" s="62"/>
      <c r="K9" s="62"/>
      <c r="L9" s="62"/>
      <c r="M9" s="62"/>
      <c r="N9" s="62"/>
      <c r="O9" s="62"/>
      <c r="P9" s="62"/>
      <c r="Q9" s="62"/>
      <c r="R9" s="62"/>
      <c r="S9" s="62"/>
      <c r="T9" s="62"/>
    </row>
    <row r="10" spans="1:20" ht="15">
      <c r="A10" s="1005"/>
      <c r="B10" s="977"/>
      <c r="C10" s="975"/>
      <c r="D10" s="611" t="s">
        <v>256</v>
      </c>
      <c r="E10" s="522">
        <v>0</v>
      </c>
      <c r="F10" s="611" t="s">
        <v>261</v>
      </c>
      <c r="G10" s="979"/>
      <c r="H10" s="973"/>
      <c r="I10" s="62"/>
      <c r="J10" s="36"/>
      <c r="K10" s="62"/>
      <c r="L10" s="62"/>
      <c r="M10" s="62"/>
      <c r="N10" s="62"/>
      <c r="O10" s="62"/>
      <c r="P10" s="62"/>
      <c r="Q10" s="62"/>
      <c r="R10" s="62"/>
      <c r="S10" s="62"/>
      <c r="T10" s="62"/>
    </row>
    <row r="11" spans="1:20" ht="15">
      <c r="A11" s="1005"/>
      <c r="B11" s="977"/>
      <c r="C11" s="975" t="s">
        <v>263</v>
      </c>
      <c r="D11" s="611" t="s">
        <v>254</v>
      </c>
      <c r="E11" s="521" t="e">
        <f>(E5-E7)/E9</f>
        <v>#DIV/0!</v>
      </c>
      <c r="F11" s="611" t="s">
        <v>264</v>
      </c>
      <c r="G11" s="979" t="s">
        <v>265</v>
      </c>
      <c r="H11" s="973"/>
      <c r="I11" s="62"/>
      <c r="J11" s="62"/>
      <c r="K11" s="62"/>
      <c r="L11" s="62"/>
      <c r="M11" s="62"/>
      <c r="N11" s="62"/>
      <c r="O11" s="62"/>
      <c r="P11" s="62"/>
      <c r="Q11" s="62"/>
      <c r="R11" s="62"/>
      <c r="S11" s="62"/>
      <c r="T11" s="62"/>
    </row>
    <row r="12" spans="1:20" ht="15">
      <c r="A12" s="1005"/>
      <c r="B12" s="977"/>
      <c r="C12" s="975"/>
      <c r="D12" s="611" t="s">
        <v>256</v>
      </c>
      <c r="E12" s="521" t="e">
        <f>(E6-E8)/E10</f>
        <v>#DIV/0!</v>
      </c>
      <c r="F12" s="611" t="s">
        <v>264</v>
      </c>
      <c r="G12" s="980"/>
      <c r="H12" s="974"/>
      <c r="I12" s="62"/>
      <c r="J12" s="62"/>
      <c r="K12" s="62"/>
      <c r="L12" s="62"/>
      <c r="M12" s="62"/>
      <c r="N12" s="62"/>
      <c r="O12" s="62"/>
      <c r="P12" s="62"/>
      <c r="Q12" s="62"/>
      <c r="R12" s="62"/>
      <c r="S12" s="62"/>
      <c r="T12" s="62"/>
    </row>
    <row r="13" spans="1:20" ht="30">
      <c r="A13" s="1005"/>
      <c r="B13" s="977" t="s">
        <v>337</v>
      </c>
      <c r="C13" s="975" t="s">
        <v>266</v>
      </c>
      <c r="D13" s="611" t="s">
        <v>267</v>
      </c>
      <c r="E13" s="523">
        <v>0</v>
      </c>
      <c r="F13" s="611" t="s">
        <v>268</v>
      </c>
      <c r="G13" s="979" t="s">
        <v>269</v>
      </c>
      <c r="H13" s="973"/>
      <c r="I13" s="62"/>
      <c r="J13" s="62"/>
      <c r="K13" s="62"/>
      <c r="L13" s="62"/>
      <c r="M13" s="62"/>
      <c r="N13" s="62"/>
      <c r="O13" s="62"/>
      <c r="P13" s="62"/>
      <c r="Q13" s="62"/>
      <c r="R13" s="62"/>
      <c r="S13" s="62"/>
      <c r="T13" s="62"/>
    </row>
    <row r="14" spans="1:20" ht="15">
      <c r="A14" s="1005"/>
      <c r="B14" s="977"/>
      <c r="C14" s="975"/>
      <c r="D14" s="428" t="s">
        <v>256</v>
      </c>
      <c r="E14" s="523">
        <v>0</v>
      </c>
      <c r="F14" s="428" t="s">
        <v>268</v>
      </c>
      <c r="G14" s="979"/>
      <c r="H14" s="973"/>
      <c r="I14" s="62"/>
      <c r="J14" s="62"/>
      <c r="K14" s="62"/>
      <c r="L14" s="62"/>
      <c r="M14" s="62"/>
      <c r="N14" s="62"/>
      <c r="O14" s="62"/>
      <c r="P14" s="62"/>
      <c r="Q14" s="62"/>
      <c r="R14" s="62"/>
      <c r="S14" s="62"/>
      <c r="T14" s="62"/>
    </row>
    <row r="15" spans="1:20" ht="30">
      <c r="A15" s="1005"/>
      <c r="B15" s="977"/>
      <c r="C15" s="975" t="s">
        <v>270</v>
      </c>
      <c r="D15" s="611" t="s">
        <v>267</v>
      </c>
      <c r="E15" s="524" t="e">
        <f>E5-(E11*12)</f>
        <v>#DIV/0!</v>
      </c>
      <c r="F15" s="611" t="s">
        <v>255</v>
      </c>
      <c r="G15" s="979"/>
      <c r="H15" s="973"/>
      <c r="I15" s="62"/>
      <c r="J15" s="62"/>
      <c r="K15" s="62"/>
      <c r="L15" s="62"/>
      <c r="M15" s="62"/>
      <c r="N15" s="62"/>
      <c r="O15" s="62"/>
      <c r="P15" s="62"/>
      <c r="Q15" s="62"/>
      <c r="R15" s="62"/>
      <c r="S15" s="62"/>
      <c r="T15" s="62"/>
    </row>
    <row r="16" spans="1:20" ht="15">
      <c r="A16" s="1005"/>
      <c r="B16" s="977"/>
      <c r="C16" s="975"/>
      <c r="D16" s="428" t="s">
        <v>256</v>
      </c>
      <c r="E16" s="524" t="e">
        <f>E6-(E12*12)</f>
        <v>#DIV/0!</v>
      </c>
      <c r="F16" s="611" t="s">
        <v>255</v>
      </c>
      <c r="G16" s="979"/>
      <c r="H16" s="973"/>
      <c r="I16" s="62"/>
      <c r="J16" s="62"/>
      <c r="K16" s="62"/>
      <c r="L16" s="62"/>
      <c r="M16" s="62"/>
      <c r="N16" s="62"/>
      <c r="O16" s="62"/>
      <c r="P16" s="62"/>
      <c r="Q16" s="62"/>
      <c r="R16" s="62"/>
      <c r="S16" s="62"/>
      <c r="T16" s="62"/>
    </row>
    <row r="17" spans="1:20" ht="30">
      <c r="A17" s="1005"/>
      <c r="B17" s="977"/>
      <c r="C17" s="975" t="s">
        <v>271</v>
      </c>
      <c r="D17" s="611" t="s">
        <v>267</v>
      </c>
      <c r="E17" s="523">
        <v>0</v>
      </c>
      <c r="F17" s="611" t="s">
        <v>268</v>
      </c>
      <c r="G17" s="979"/>
      <c r="H17" s="973"/>
      <c r="I17" s="62"/>
      <c r="J17" s="62"/>
      <c r="K17" s="62"/>
      <c r="L17" s="62"/>
      <c r="M17" s="62"/>
      <c r="N17" s="62"/>
      <c r="O17" s="62"/>
      <c r="P17" s="62"/>
      <c r="Q17" s="62"/>
      <c r="R17" s="62"/>
      <c r="S17" s="62"/>
      <c r="T17" s="62"/>
    </row>
    <row r="18" spans="1:20" ht="15">
      <c r="A18" s="1005"/>
      <c r="B18" s="977"/>
      <c r="C18" s="975"/>
      <c r="D18" s="428" t="s">
        <v>256</v>
      </c>
      <c r="E18" s="523">
        <v>0</v>
      </c>
      <c r="F18" s="611" t="s">
        <v>268</v>
      </c>
      <c r="G18" s="979"/>
      <c r="H18" s="973"/>
      <c r="I18" s="62"/>
      <c r="J18" s="62"/>
      <c r="K18" s="62"/>
      <c r="L18" s="62"/>
      <c r="M18" s="62"/>
      <c r="N18" s="62"/>
      <c r="O18" s="62"/>
      <c r="P18" s="62"/>
      <c r="Q18" s="62"/>
      <c r="R18" s="62"/>
      <c r="S18" s="62"/>
      <c r="T18" s="62"/>
    </row>
    <row r="19" spans="1:20" ht="30">
      <c r="A19" s="1005"/>
      <c r="B19" s="977"/>
      <c r="C19" s="975" t="s">
        <v>272</v>
      </c>
      <c r="D19" s="611" t="s">
        <v>267</v>
      </c>
      <c r="E19" s="525" t="e">
        <f>((E15-E7)*(E17+1)/2*E17)+E7</f>
        <v>#DIV/0!</v>
      </c>
      <c r="F19" s="611" t="s">
        <v>255</v>
      </c>
      <c r="G19" s="987" t="s">
        <v>273</v>
      </c>
      <c r="H19" s="960"/>
      <c r="I19" s="62"/>
      <c r="J19" s="62"/>
      <c r="K19" s="62"/>
      <c r="L19" s="62"/>
      <c r="M19" s="62"/>
      <c r="N19" s="62"/>
      <c r="O19" s="62"/>
      <c r="P19" s="62"/>
      <c r="Q19" s="62"/>
      <c r="R19" s="62"/>
      <c r="S19" s="62"/>
      <c r="T19" s="62"/>
    </row>
    <row r="20" spans="1:20" ht="15">
      <c r="A20" s="1005"/>
      <c r="B20" s="977"/>
      <c r="C20" s="975"/>
      <c r="D20" s="428" t="s">
        <v>256</v>
      </c>
      <c r="E20" s="525" t="e">
        <f>((E16-E8)*(E18+1)/2*E18)+E8</f>
        <v>#DIV/0!</v>
      </c>
      <c r="F20" s="611" t="s">
        <v>255</v>
      </c>
      <c r="G20" s="988"/>
      <c r="H20" s="961"/>
      <c r="I20" s="62"/>
      <c r="J20" s="62"/>
      <c r="K20" s="62"/>
      <c r="L20" s="62"/>
      <c r="M20" s="62"/>
      <c r="N20" s="62"/>
      <c r="O20" s="62"/>
      <c r="P20" s="62"/>
      <c r="Q20" s="62"/>
      <c r="R20" s="62"/>
      <c r="S20" s="62"/>
      <c r="T20" s="62"/>
    </row>
    <row r="21" spans="1:20" ht="45">
      <c r="A21" s="1005"/>
      <c r="B21" s="977"/>
      <c r="C21" s="611" t="s">
        <v>274</v>
      </c>
      <c r="D21" s="428" t="s">
        <v>16</v>
      </c>
      <c r="E21" s="526">
        <f>SELIC</f>
        <v>0</v>
      </c>
      <c r="F21" s="428" t="s">
        <v>275</v>
      </c>
      <c r="G21" s="612" t="s">
        <v>276</v>
      </c>
      <c r="H21" s="630"/>
      <c r="I21" s="62"/>
      <c r="J21" s="62"/>
      <c r="K21" s="62"/>
      <c r="L21" s="62"/>
      <c r="M21" s="62"/>
      <c r="N21" s="62"/>
      <c r="O21" s="62"/>
      <c r="P21" s="62"/>
      <c r="Q21" s="62"/>
      <c r="R21" s="62"/>
      <c r="S21" s="62"/>
      <c r="T21" s="62"/>
    </row>
    <row r="22" spans="1:20" ht="30">
      <c r="A22" s="1005"/>
      <c r="B22" s="977"/>
      <c r="C22" s="975" t="s">
        <v>277</v>
      </c>
      <c r="D22" s="611" t="s">
        <v>267</v>
      </c>
      <c r="E22" s="525" t="e">
        <f>(E19*E21)/12</f>
        <v>#DIV/0!</v>
      </c>
      <c r="F22" s="611" t="s">
        <v>255</v>
      </c>
      <c r="G22" s="980" t="s">
        <v>278</v>
      </c>
      <c r="H22" s="974"/>
      <c r="I22" s="62"/>
      <c r="J22" s="62"/>
      <c r="K22" s="62"/>
      <c r="L22" s="62"/>
      <c r="M22" s="62"/>
      <c r="N22" s="62"/>
      <c r="O22" s="62"/>
      <c r="P22" s="62"/>
      <c r="Q22" s="62"/>
      <c r="R22" s="62"/>
      <c r="S22" s="62"/>
      <c r="T22" s="62"/>
    </row>
    <row r="23" spans="1:20" ht="15">
      <c r="A23" s="1005"/>
      <c r="B23" s="977"/>
      <c r="C23" s="975"/>
      <c r="D23" s="428" t="s">
        <v>256</v>
      </c>
      <c r="E23" s="525" t="e">
        <f>(E20*E21)/12</f>
        <v>#DIV/0!</v>
      </c>
      <c r="F23" s="611" t="s">
        <v>255</v>
      </c>
      <c r="G23" s="980"/>
      <c r="H23" s="974"/>
      <c r="I23" s="62"/>
      <c r="J23" s="62"/>
      <c r="K23" s="62"/>
      <c r="L23" s="62"/>
      <c r="M23" s="62"/>
      <c r="N23" s="62"/>
      <c r="O23" s="62"/>
      <c r="P23" s="62"/>
      <c r="Q23" s="62"/>
      <c r="R23" s="62"/>
      <c r="S23" s="62"/>
      <c r="T23" s="62"/>
    </row>
    <row r="24" spans="1:20" ht="60">
      <c r="A24" s="1005"/>
      <c r="B24" s="1020" t="s">
        <v>338</v>
      </c>
      <c r="C24" s="611" t="s">
        <v>279</v>
      </c>
      <c r="D24" s="611" t="s">
        <v>267</v>
      </c>
      <c r="E24" s="526">
        <v>0</v>
      </c>
      <c r="F24" s="611" t="s">
        <v>280</v>
      </c>
      <c r="G24" s="612" t="s">
        <v>281</v>
      </c>
      <c r="H24" s="630"/>
      <c r="I24" s="62"/>
      <c r="J24" s="62"/>
      <c r="K24" s="62"/>
      <c r="L24" s="62"/>
      <c r="M24" s="62"/>
      <c r="N24" s="62"/>
      <c r="O24" s="62"/>
      <c r="P24" s="62"/>
      <c r="Q24" s="62"/>
      <c r="R24" s="62"/>
      <c r="S24" s="62"/>
      <c r="T24" s="62"/>
    </row>
    <row r="25" spans="1:20" ht="60">
      <c r="A25" s="1005"/>
      <c r="B25" s="1003"/>
      <c r="C25" s="611" t="s">
        <v>282</v>
      </c>
      <c r="D25" s="611" t="s">
        <v>267</v>
      </c>
      <c r="E25" s="525" t="e">
        <f>E15</f>
        <v>#DIV/0!</v>
      </c>
      <c r="F25" s="611" t="s">
        <v>255</v>
      </c>
      <c r="G25" s="614" t="s">
        <v>16</v>
      </c>
      <c r="H25" s="632"/>
      <c r="I25" s="62"/>
      <c r="J25" s="62"/>
      <c r="K25" s="62"/>
      <c r="L25" s="62"/>
      <c r="M25" s="62"/>
      <c r="N25" s="62"/>
      <c r="O25" s="62"/>
      <c r="P25" s="62"/>
      <c r="Q25" s="62"/>
      <c r="R25" s="62"/>
      <c r="S25" s="62"/>
      <c r="T25" s="62"/>
    </row>
    <row r="26" spans="1:20" ht="30">
      <c r="A26" s="1005"/>
      <c r="B26" s="1003"/>
      <c r="C26" s="428" t="s">
        <v>284</v>
      </c>
      <c r="D26" s="611" t="s">
        <v>267</v>
      </c>
      <c r="E26" s="525" t="e">
        <f>(E15*E24)/12</f>
        <v>#DIV/0!</v>
      </c>
      <c r="F26" s="611" t="s">
        <v>264</v>
      </c>
      <c r="G26" s="614" t="s">
        <v>283</v>
      </c>
      <c r="H26" s="632"/>
      <c r="I26" s="62"/>
      <c r="J26" s="62"/>
      <c r="K26" s="62"/>
      <c r="L26" s="62"/>
      <c r="M26" s="62"/>
      <c r="N26" s="62"/>
      <c r="O26" s="62"/>
      <c r="P26" s="62"/>
      <c r="Q26" s="62"/>
      <c r="R26" s="62"/>
      <c r="S26" s="62"/>
      <c r="T26" s="62"/>
    </row>
    <row r="27" spans="1:20" ht="30" customHeight="1">
      <c r="A27" s="1005"/>
      <c r="B27" s="1003"/>
      <c r="C27" s="981" t="s">
        <v>285</v>
      </c>
      <c r="D27" s="982" t="s">
        <v>267</v>
      </c>
      <c r="E27" s="525">
        <v>0</v>
      </c>
      <c r="F27" s="611" t="s">
        <v>286</v>
      </c>
      <c r="G27" s="989" t="s">
        <v>287</v>
      </c>
      <c r="H27" s="962"/>
      <c r="I27" s="62"/>
      <c r="J27" s="62"/>
      <c r="K27" s="62"/>
      <c r="L27" s="62"/>
      <c r="M27" s="62"/>
      <c r="N27" s="62"/>
      <c r="O27" s="62"/>
      <c r="P27" s="62"/>
      <c r="Q27" s="62"/>
      <c r="R27" s="62"/>
      <c r="S27" s="62"/>
      <c r="T27" s="62"/>
    </row>
    <row r="28" spans="1:20" ht="15">
      <c r="A28" s="1005"/>
      <c r="B28" s="1003"/>
      <c r="C28" s="853"/>
      <c r="D28" s="978"/>
      <c r="E28" s="525">
        <v>0</v>
      </c>
      <c r="F28" s="611" t="s">
        <v>264</v>
      </c>
      <c r="G28" s="990"/>
      <c r="H28" s="964"/>
      <c r="I28" s="62"/>
      <c r="J28" s="62"/>
      <c r="K28" s="62"/>
      <c r="L28" s="62"/>
      <c r="M28" s="62"/>
      <c r="N28" s="62"/>
      <c r="O28" s="62"/>
      <c r="P28" s="62"/>
      <c r="Q28" s="62"/>
      <c r="R28" s="62"/>
      <c r="S28" s="62"/>
      <c r="T28" s="62"/>
    </row>
    <row r="29" spans="1:20" ht="15">
      <c r="A29" s="1005"/>
      <c r="B29" s="1003"/>
      <c r="C29" s="981" t="s">
        <v>288</v>
      </c>
      <c r="D29" s="982" t="s">
        <v>267</v>
      </c>
      <c r="E29" s="525">
        <v>0</v>
      </c>
      <c r="F29" s="611" t="s">
        <v>286</v>
      </c>
      <c r="G29" s="989" t="s">
        <v>289</v>
      </c>
      <c r="H29" s="962"/>
      <c r="I29" s="62"/>
      <c r="J29" s="62"/>
      <c r="K29" s="62"/>
      <c r="L29" s="62"/>
      <c r="M29" s="62"/>
      <c r="N29" s="62"/>
      <c r="O29" s="62"/>
      <c r="P29" s="62"/>
      <c r="Q29" s="62"/>
      <c r="R29" s="62"/>
      <c r="S29" s="62"/>
      <c r="T29" s="62"/>
    </row>
    <row r="30" spans="1:20" ht="15">
      <c r="A30" s="1005"/>
      <c r="B30" s="1003"/>
      <c r="C30" s="853"/>
      <c r="D30" s="978"/>
      <c r="E30" s="525">
        <f>E29/12</f>
        <v>0</v>
      </c>
      <c r="F30" s="611" t="s">
        <v>264</v>
      </c>
      <c r="G30" s="990"/>
      <c r="H30" s="964"/>
      <c r="I30" s="62"/>
      <c r="J30" s="62"/>
      <c r="K30" s="62"/>
      <c r="L30" s="62"/>
      <c r="M30" s="62"/>
      <c r="N30" s="62"/>
      <c r="O30" s="62"/>
      <c r="P30" s="62"/>
      <c r="Q30" s="62"/>
      <c r="R30" s="62"/>
      <c r="S30" s="62"/>
      <c r="T30" s="62"/>
    </row>
    <row r="31" spans="1:20" ht="15">
      <c r="A31" s="1005"/>
      <c r="B31" s="1003"/>
      <c r="C31" s="981" t="s">
        <v>290</v>
      </c>
      <c r="D31" s="982" t="s">
        <v>267</v>
      </c>
      <c r="E31" s="527">
        <f>E5*2%</f>
        <v>0</v>
      </c>
      <c r="F31" s="611" t="s">
        <v>286</v>
      </c>
      <c r="G31" s="983">
        <v>0.02</v>
      </c>
      <c r="H31" s="971"/>
      <c r="I31" s="62"/>
      <c r="J31" s="62"/>
      <c r="K31" s="62"/>
      <c r="L31" s="62"/>
      <c r="M31" s="62"/>
      <c r="N31" s="62"/>
      <c r="O31" s="62"/>
      <c r="P31" s="62"/>
      <c r="Q31" s="62"/>
      <c r="R31" s="62"/>
      <c r="S31" s="62"/>
      <c r="T31" s="62"/>
    </row>
    <row r="32" spans="1:20" ht="30" customHeight="1">
      <c r="A32" s="1005"/>
      <c r="B32" s="1003"/>
      <c r="C32" s="853"/>
      <c r="D32" s="978"/>
      <c r="E32" s="525">
        <f>E31/12</f>
        <v>0</v>
      </c>
      <c r="F32" s="611" t="s">
        <v>264</v>
      </c>
      <c r="G32" s="984"/>
      <c r="H32" s="972"/>
      <c r="I32" s="62"/>
      <c r="J32" s="62"/>
      <c r="K32" s="62"/>
      <c r="L32" s="62"/>
      <c r="M32" s="62"/>
      <c r="N32" s="62"/>
      <c r="O32" s="62"/>
      <c r="P32" s="62"/>
      <c r="Q32" s="62"/>
      <c r="R32" s="62"/>
      <c r="S32" s="62"/>
      <c r="T32" s="62"/>
    </row>
    <row r="33" spans="1:20" ht="45.75" thickBot="1">
      <c r="A33" s="1005"/>
      <c r="B33" s="1003"/>
      <c r="C33" s="985" t="s">
        <v>373</v>
      </c>
      <c r="D33" s="986"/>
      <c r="E33" s="529" t="e">
        <f>E26+E28+E30+E32</f>
        <v>#DIV/0!</v>
      </c>
      <c r="F33" s="615" t="s">
        <v>264</v>
      </c>
      <c r="G33" s="616" t="s">
        <v>292</v>
      </c>
      <c r="H33" s="633"/>
      <c r="I33" s="62"/>
      <c r="J33" s="62"/>
      <c r="K33" s="62"/>
      <c r="L33" s="62"/>
      <c r="M33" s="62"/>
      <c r="N33" s="62"/>
      <c r="O33" s="62"/>
      <c r="P33" s="62"/>
      <c r="Q33" s="62"/>
      <c r="R33" s="62"/>
      <c r="S33" s="62"/>
      <c r="T33" s="62"/>
    </row>
    <row r="34" spans="1:20" ht="41.25" customHeight="1" thickBot="1">
      <c r="A34" s="1006"/>
      <c r="B34" s="1007" t="s">
        <v>372</v>
      </c>
      <c r="C34" s="1008"/>
      <c r="D34" s="1009"/>
      <c r="E34" s="528" t="e">
        <f>(E11+E12)+(E22+E23)+E33</f>
        <v>#DIV/0!</v>
      </c>
      <c r="F34" s="617" t="s">
        <v>264</v>
      </c>
      <c r="G34" s="618" t="s">
        <v>328</v>
      </c>
      <c r="H34" s="634"/>
      <c r="I34" s="62"/>
      <c r="J34" s="62"/>
      <c r="K34" s="62"/>
      <c r="L34" s="62"/>
      <c r="M34" s="62"/>
      <c r="N34" s="62"/>
      <c r="O34" s="62"/>
      <c r="P34" s="62"/>
      <c r="Q34" s="62"/>
      <c r="R34" s="62"/>
      <c r="S34" s="62"/>
      <c r="T34" s="62"/>
    </row>
    <row r="35" spans="1:20" ht="149.25" customHeight="1">
      <c r="A35" s="1010" t="s">
        <v>376</v>
      </c>
      <c r="B35" s="995" t="s">
        <v>335</v>
      </c>
      <c r="C35" s="997" t="s">
        <v>293</v>
      </c>
      <c r="D35" s="609" t="s">
        <v>294</v>
      </c>
      <c r="E35" s="999">
        <v>0</v>
      </c>
      <c r="F35" s="436" t="s">
        <v>295</v>
      </c>
      <c r="G35" s="619" t="s">
        <v>296</v>
      </c>
      <c r="H35" s="635"/>
      <c r="I35" s="62"/>
      <c r="J35" s="62"/>
      <c r="K35" s="62"/>
      <c r="L35" s="62"/>
      <c r="M35" s="62"/>
      <c r="N35" s="62"/>
      <c r="O35" s="62"/>
      <c r="P35" s="62"/>
      <c r="Q35" s="62"/>
      <c r="R35" s="62"/>
      <c r="S35" s="62"/>
      <c r="T35" s="62"/>
    </row>
    <row r="36" spans="1:20" ht="75">
      <c r="A36" s="1005"/>
      <c r="B36" s="995"/>
      <c r="C36" s="998"/>
      <c r="D36" s="611" t="s">
        <v>297</v>
      </c>
      <c r="E36" s="1000"/>
      <c r="F36" s="428" t="s">
        <v>295</v>
      </c>
      <c r="G36" s="620" t="s">
        <v>332</v>
      </c>
      <c r="H36" s="636"/>
      <c r="I36" s="62"/>
      <c r="J36" s="62"/>
      <c r="K36" s="62"/>
      <c r="L36" s="62"/>
      <c r="M36" s="62"/>
      <c r="N36" s="62"/>
      <c r="O36" s="62"/>
      <c r="P36" s="62"/>
      <c r="Q36" s="62"/>
      <c r="R36" s="62"/>
      <c r="S36" s="62"/>
      <c r="T36" s="62"/>
    </row>
    <row r="37" spans="1:20" ht="105">
      <c r="A37" s="1005"/>
      <c r="B37" s="995"/>
      <c r="C37" s="611" t="s">
        <v>298</v>
      </c>
      <c r="D37" s="428" t="s">
        <v>299</v>
      </c>
      <c r="E37" s="525">
        <f>[0]!DIESEL</f>
        <v>0</v>
      </c>
      <c r="F37" s="428" t="s">
        <v>300</v>
      </c>
      <c r="G37" s="620" t="s">
        <v>347</v>
      </c>
      <c r="H37" s="636"/>
      <c r="I37" s="62"/>
      <c r="J37" s="62"/>
      <c r="K37" s="62"/>
      <c r="L37" s="62"/>
      <c r="M37" s="62"/>
      <c r="N37" s="62"/>
      <c r="O37" s="62"/>
      <c r="P37" s="62"/>
      <c r="Q37" s="62"/>
      <c r="R37" s="62"/>
      <c r="S37" s="62"/>
      <c r="T37" s="62"/>
    </row>
    <row r="38" spans="1:20" ht="30">
      <c r="A38" s="1005"/>
      <c r="B38" s="995"/>
      <c r="C38" s="982" t="s">
        <v>301</v>
      </c>
      <c r="D38" s="611" t="s">
        <v>294</v>
      </c>
      <c r="E38" s="1001">
        <f>E35*E37</f>
        <v>0</v>
      </c>
      <c r="F38" s="428" t="s">
        <v>302</v>
      </c>
      <c r="G38" s="989" t="s">
        <v>303</v>
      </c>
      <c r="H38" s="962"/>
      <c r="I38" s="62"/>
      <c r="J38" s="62"/>
      <c r="K38" s="62"/>
      <c r="L38" s="62"/>
      <c r="M38" s="62"/>
      <c r="N38" s="62"/>
      <c r="O38" s="62"/>
      <c r="P38" s="62"/>
      <c r="Q38" s="62"/>
      <c r="R38" s="62"/>
      <c r="S38" s="62"/>
      <c r="T38" s="62"/>
    </row>
    <row r="39" spans="1:20" ht="75">
      <c r="A39" s="1005"/>
      <c r="B39" s="995"/>
      <c r="C39" s="978"/>
      <c r="D39" s="611" t="s">
        <v>297</v>
      </c>
      <c r="E39" s="1002"/>
      <c r="F39" s="428" t="s">
        <v>302</v>
      </c>
      <c r="G39" s="990"/>
      <c r="H39" s="964"/>
      <c r="I39" s="62"/>
      <c r="J39" s="62"/>
      <c r="K39" s="62"/>
      <c r="L39" s="62"/>
      <c r="M39" s="62"/>
      <c r="N39" s="62"/>
      <c r="O39" s="62"/>
      <c r="P39" s="62"/>
      <c r="Q39" s="62"/>
      <c r="R39" s="62"/>
      <c r="S39" s="62"/>
      <c r="T39" s="62"/>
    </row>
    <row r="40" spans="1:20" ht="30">
      <c r="A40" s="1005"/>
      <c r="B40" s="995"/>
      <c r="C40" s="982" t="s">
        <v>304</v>
      </c>
      <c r="D40" s="611" t="s">
        <v>294</v>
      </c>
      <c r="E40" s="1015">
        <f>TRUNC(('COLETA URBANA'!$K$10)/2,2)</f>
        <v>1568.18</v>
      </c>
      <c r="F40" s="428" t="s">
        <v>9</v>
      </c>
      <c r="G40" s="989" t="s">
        <v>350</v>
      </c>
      <c r="H40" s="962"/>
      <c r="I40" s="62"/>
      <c r="J40" s="62"/>
      <c r="K40" s="62"/>
      <c r="L40" s="62"/>
      <c r="M40" s="62"/>
      <c r="N40" s="62"/>
      <c r="O40" s="62"/>
      <c r="P40" s="62"/>
      <c r="Q40" s="62"/>
      <c r="R40" s="62"/>
      <c r="S40" s="62"/>
      <c r="T40" s="62"/>
    </row>
    <row r="41" spans="1:20" ht="75">
      <c r="A41" s="1005"/>
      <c r="B41" s="995"/>
      <c r="C41" s="978"/>
      <c r="D41" s="611" t="s">
        <v>297</v>
      </c>
      <c r="E41" s="1016"/>
      <c r="F41" s="428" t="s">
        <v>9</v>
      </c>
      <c r="G41" s="990"/>
      <c r="H41" s="964"/>
      <c r="I41" s="62"/>
      <c r="J41" s="62"/>
      <c r="K41" s="62"/>
      <c r="L41" s="62"/>
      <c r="M41" s="62"/>
      <c r="N41" s="62"/>
      <c r="O41" s="62"/>
      <c r="P41" s="62"/>
      <c r="Q41" s="62"/>
      <c r="R41" s="62"/>
      <c r="S41" s="62"/>
      <c r="T41" s="62"/>
    </row>
    <row r="42" spans="1:20" ht="45" customHeight="1">
      <c r="A42" s="1005"/>
      <c r="B42" s="995"/>
      <c r="C42" s="982" t="s">
        <v>305</v>
      </c>
      <c r="D42" s="611" t="s">
        <v>294</v>
      </c>
      <c r="E42" s="525">
        <f>TRUNC((E38*E40),2)</f>
        <v>0</v>
      </c>
      <c r="F42" s="428" t="s">
        <v>302</v>
      </c>
      <c r="G42" s="987" t="s">
        <v>306</v>
      </c>
      <c r="H42" s="960"/>
      <c r="I42" s="62"/>
      <c r="J42" s="62"/>
      <c r="K42" s="62"/>
      <c r="L42" s="62"/>
      <c r="M42" s="62"/>
      <c r="N42" s="62"/>
      <c r="O42" s="62"/>
      <c r="P42" s="62"/>
      <c r="Q42" s="62"/>
      <c r="R42" s="62"/>
      <c r="S42" s="62"/>
      <c r="T42" s="62"/>
    </row>
    <row r="43" spans="1:20" ht="75">
      <c r="A43" s="1005"/>
      <c r="B43" s="996"/>
      <c r="C43" s="978"/>
      <c r="D43" s="611" t="s">
        <v>297</v>
      </c>
      <c r="E43" s="525">
        <f>E39*E41</f>
        <v>0</v>
      </c>
      <c r="F43" s="428" t="s">
        <v>302</v>
      </c>
      <c r="G43" s="988"/>
      <c r="H43" s="961"/>
      <c r="I43" s="62"/>
      <c r="J43" s="62"/>
      <c r="K43" s="62"/>
      <c r="L43" s="62"/>
      <c r="M43" s="62"/>
      <c r="N43" s="62"/>
      <c r="O43" s="62"/>
      <c r="P43" s="62"/>
      <c r="Q43" s="62"/>
      <c r="R43" s="62"/>
      <c r="S43" s="62"/>
      <c r="T43" s="62"/>
    </row>
    <row r="44" spans="1:20" ht="28.5" customHeight="1">
      <c r="A44" s="1005"/>
      <c r="B44" s="621" t="s">
        <v>334</v>
      </c>
      <c r="C44" s="611" t="s">
        <v>307</v>
      </c>
      <c r="D44" s="611" t="s">
        <v>267</v>
      </c>
      <c r="E44" s="525">
        <f>SUM(E42:E43)*0.1</f>
        <v>0</v>
      </c>
      <c r="F44" s="428" t="s">
        <v>302</v>
      </c>
      <c r="G44" s="613" t="s">
        <v>308</v>
      </c>
      <c r="H44" s="631"/>
      <c r="I44" s="62"/>
      <c r="J44" s="62"/>
      <c r="K44" s="62"/>
      <c r="L44" s="62"/>
      <c r="M44" s="62"/>
      <c r="N44" s="62"/>
      <c r="O44" s="62"/>
      <c r="P44" s="62"/>
      <c r="Q44" s="62"/>
      <c r="R44" s="62"/>
      <c r="S44" s="62"/>
      <c r="T44" s="62"/>
    </row>
    <row r="45" spans="1:20" ht="30">
      <c r="A45" s="1005"/>
      <c r="B45" s="1003" t="s">
        <v>333</v>
      </c>
      <c r="C45" s="428" t="s">
        <v>309</v>
      </c>
      <c r="D45" s="611" t="s">
        <v>267</v>
      </c>
      <c r="E45" s="525">
        <v>0</v>
      </c>
      <c r="F45" s="428" t="s">
        <v>255</v>
      </c>
      <c r="G45" s="989" t="s">
        <v>512</v>
      </c>
      <c r="H45" s="962"/>
      <c r="I45" s="62"/>
      <c r="J45" s="62"/>
      <c r="K45" s="62"/>
      <c r="L45" s="62"/>
      <c r="M45" s="62"/>
      <c r="N45" s="62"/>
      <c r="O45" s="62"/>
      <c r="P45" s="62"/>
      <c r="Q45" s="62"/>
      <c r="R45" s="62"/>
      <c r="S45" s="62"/>
      <c r="T45" s="62"/>
    </row>
    <row r="46" spans="1:20" ht="30">
      <c r="A46" s="1005"/>
      <c r="B46" s="1003"/>
      <c r="C46" s="428" t="s">
        <v>310</v>
      </c>
      <c r="D46" s="611" t="s">
        <v>267</v>
      </c>
      <c r="E46" s="525">
        <v>0</v>
      </c>
      <c r="F46" s="428" t="s">
        <v>255</v>
      </c>
      <c r="G46" s="1017"/>
      <c r="H46" s="963"/>
      <c r="I46" s="62"/>
      <c r="J46" s="62"/>
      <c r="K46" s="62"/>
      <c r="L46" s="62"/>
      <c r="M46" s="62"/>
      <c r="N46" s="62"/>
      <c r="O46" s="62"/>
      <c r="P46" s="62"/>
      <c r="Q46" s="62"/>
      <c r="R46" s="62"/>
      <c r="S46" s="62"/>
      <c r="T46" s="62"/>
    </row>
    <row r="47" spans="1:20" ht="30">
      <c r="A47" s="1005"/>
      <c r="B47" s="1003"/>
      <c r="C47" s="611" t="s">
        <v>311</v>
      </c>
      <c r="D47" s="611" t="s">
        <v>267</v>
      </c>
      <c r="E47" s="525">
        <v>0</v>
      </c>
      <c r="F47" s="428" t="s">
        <v>255</v>
      </c>
      <c r="G47" s="990"/>
      <c r="H47" s="964"/>
      <c r="I47" s="62"/>
      <c r="J47" s="62"/>
      <c r="K47" s="62"/>
      <c r="L47" s="62"/>
      <c r="M47" s="62"/>
      <c r="N47" s="62"/>
      <c r="O47" s="62"/>
      <c r="P47" s="62"/>
      <c r="Q47" s="62"/>
      <c r="R47" s="62"/>
      <c r="S47" s="62"/>
      <c r="T47" s="62"/>
    </row>
    <row r="48" spans="1:20" ht="45">
      <c r="A48" s="1005"/>
      <c r="B48" s="1003"/>
      <c r="C48" s="611" t="s">
        <v>313</v>
      </c>
      <c r="D48" s="611" t="s">
        <v>267</v>
      </c>
      <c r="E48" s="530">
        <v>0</v>
      </c>
      <c r="F48" s="607" t="s">
        <v>312</v>
      </c>
      <c r="G48" s="612" t="s">
        <v>314</v>
      </c>
      <c r="H48" s="630"/>
      <c r="I48" s="62"/>
      <c r="J48" s="62"/>
      <c r="K48" s="62"/>
      <c r="L48" s="62"/>
      <c r="M48" s="62"/>
      <c r="N48" s="62"/>
      <c r="O48" s="62"/>
      <c r="P48" s="62"/>
      <c r="Q48" s="62"/>
      <c r="R48" s="62"/>
      <c r="S48" s="62"/>
      <c r="T48" s="62"/>
    </row>
    <row r="49" spans="1:20" ht="75">
      <c r="A49" s="1005"/>
      <c r="B49" s="1003"/>
      <c r="C49" s="611" t="s">
        <v>315</v>
      </c>
      <c r="D49" s="611" t="s">
        <v>267</v>
      </c>
      <c r="E49" s="525">
        <v>0</v>
      </c>
      <c r="F49" s="611" t="s">
        <v>255</v>
      </c>
      <c r="G49" s="612" t="s">
        <v>558</v>
      </c>
      <c r="H49" s="630"/>
      <c r="I49" s="62"/>
      <c r="J49" s="62"/>
      <c r="K49" s="62"/>
      <c r="L49" s="62"/>
      <c r="M49" s="62"/>
      <c r="N49" s="62"/>
      <c r="O49" s="62"/>
      <c r="P49" s="62"/>
      <c r="Q49" s="62"/>
      <c r="R49" s="62"/>
      <c r="S49" s="62"/>
      <c r="T49" s="62"/>
    </row>
    <row r="50" spans="1:20" ht="58.5" customHeight="1">
      <c r="A50" s="1005"/>
      <c r="B50" s="1003"/>
      <c r="C50" s="611" t="s">
        <v>316</v>
      </c>
      <c r="D50" s="611" t="s">
        <v>267</v>
      </c>
      <c r="E50" s="530">
        <v>30000</v>
      </c>
      <c r="F50" s="611" t="s">
        <v>163</v>
      </c>
      <c r="G50" s="1018" t="s">
        <v>344</v>
      </c>
      <c r="H50" s="965"/>
      <c r="I50" s="62"/>
      <c r="J50" s="62"/>
      <c r="K50" s="62"/>
      <c r="L50" s="62"/>
      <c r="M50" s="62"/>
      <c r="N50" s="62"/>
      <c r="O50" s="62"/>
      <c r="P50" s="62"/>
      <c r="Q50" s="62"/>
      <c r="R50" s="62"/>
      <c r="S50" s="62"/>
      <c r="T50" s="62"/>
    </row>
    <row r="51" spans="1:20" ht="57.75" customHeight="1">
      <c r="A51" s="1005"/>
      <c r="B51" s="1003"/>
      <c r="C51" s="611" t="s">
        <v>317</v>
      </c>
      <c r="D51" s="611" t="s">
        <v>267</v>
      </c>
      <c r="E51" s="530">
        <v>20000</v>
      </c>
      <c r="F51" s="611" t="s">
        <v>163</v>
      </c>
      <c r="G51" s="1019"/>
      <c r="H51" s="966"/>
      <c r="I51" s="62"/>
      <c r="J51" s="62"/>
      <c r="K51" s="62"/>
      <c r="L51" s="62"/>
      <c r="M51" s="62"/>
      <c r="N51" s="62"/>
      <c r="O51" s="62"/>
      <c r="P51" s="62"/>
      <c r="Q51" s="62"/>
      <c r="R51" s="62"/>
      <c r="S51" s="62"/>
      <c r="T51" s="62"/>
    </row>
    <row r="52" spans="1:20" ht="60">
      <c r="A52" s="1005"/>
      <c r="B52" s="1003"/>
      <c r="C52" s="611" t="s">
        <v>318</v>
      </c>
      <c r="D52" s="611" t="s">
        <v>267</v>
      </c>
      <c r="E52" s="525">
        <f>TRUNC(((1.2*(E45+E46+E47)*E48)+(E49*E48))/(E50+E51),2)</f>
        <v>0</v>
      </c>
      <c r="F52" s="611" t="s">
        <v>319</v>
      </c>
      <c r="G52" s="612" t="s">
        <v>320</v>
      </c>
      <c r="H52" s="630"/>
      <c r="I52" s="62"/>
      <c r="J52" s="62"/>
      <c r="K52" s="62"/>
      <c r="L52" s="62"/>
      <c r="M52" s="62"/>
      <c r="N52" s="62"/>
      <c r="O52" s="62"/>
      <c r="P52" s="62"/>
      <c r="Q52" s="62"/>
      <c r="R52" s="62"/>
      <c r="S52" s="62"/>
      <c r="T52" s="62"/>
    </row>
    <row r="53" spans="1:20" ht="45">
      <c r="A53" s="1005"/>
      <c r="B53" s="1003"/>
      <c r="C53" s="611" t="s">
        <v>321</v>
      </c>
      <c r="D53" s="611" t="s">
        <v>267</v>
      </c>
      <c r="E53" s="622">
        <f>SUM(E40,E41)</f>
        <v>1568.18</v>
      </c>
      <c r="F53" s="611" t="s">
        <v>322</v>
      </c>
      <c r="G53" s="613" t="s">
        <v>16</v>
      </c>
      <c r="H53" s="631"/>
      <c r="I53" s="62"/>
      <c r="J53" s="62"/>
      <c r="K53" s="62"/>
      <c r="L53" s="62"/>
      <c r="M53" s="62"/>
      <c r="N53" s="62"/>
      <c r="O53" s="62"/>
      <c r="P53" s="62"/>
      <c r="Q53" s="62"/>
      <c r="R53" s="62"/>
      <c r="S53" s="62"/>
      <c r="T53" s="62"/>
    </row>
    <row r="54" spans="1:20" ht="30">
      <c r="A54" s="1005"/>
      <c r="B54" s="976"/>
      <c r="C54" s="611" t="s">
        <v>323</v>
      </c>
      <c r="D54" s="611" t="s">
        <v>267</v>
      </c>
      <c r="E54" s="525">
        <f>TRUNC(E53*E52,2)</f>
        <v>0</v>
      </c>
      <c r="F54" s="611" t="s">
        <v>264</v>
      </c>
      <c r="G54" s="613" t="s">
        <v>324</v>
      </c>
      <c r="H54" s="631"/>
      <c r="I54" s="62"/>
      <c r="J54" s="62"/>
      <c r="K54" s="62"/>
      <c r="L54" s="62"/>
      <c r="M54" s="62"/>
      <c r="N54" s="62"/>
      <c r="O54" s="62"/>
      <c r="P54" s="62"/>
      <c r="Q54" s="62"/>
      <c r="R54" s="62"/>
      <c r="S54" s="62"/>
      <c r="T54" s="62"/>
    </row>
    <row r="55" spans="1:20" ht="105">
      <c r="A55" s="1005"/>
      <c r="B55" s="1003" t="s">
        <v>339</v>
      </c>
      <c r="C55" s="611" t="s">
        <v>325</v>
      </c>
      <c r="D55" s="611" t="s">
        <v>267</v>
      </c>
      <c r="E55" s="525">
        <f>(E5+E6)-(E45*E48)</f>
        <v>0</v>
      </c>
      <c r="F55" s="611" t="s">
        <v>255</v>
      </c>
      <c r="G55" s="612" t="s">
        <v>343</v>
      </c>
      <c r="H55" s="630"/>
      <c r="I55" s="62"/>
      <c r="J55" s="62"/>
      <c r="K55" s="62"/>
      <c r="L55" s="62"/>
      <c r="M55" s="62"/>
      <c r="N55" s="62"/>
      <c r="O55" s="62"/>
      <c r="P55" s="62"/>
      <c r="Q55" s="62"/>
      <c r="R55" s="62"/>
      <c r="S55" s="62"/>
      <c r="T55" s="62"/>
    </row>
    <row r="56" spans="1:20" ht="60">
      <c r="A56" s="1005"/>
      <c r="B56" s="1003"/>
      <c r="C56" s="611" t="s">
        <v>326</v>
      </c>
      <c r="D56" s="611" t="s">
        <v>267</v>
      </c>
      <c r="E56" s="523">
        <v>0</v>
      </c>
      <c r="F56" s="611" t="s">
        <v>16</v>
      </c>
      <c r="G56" s="612" t="s">
        <v>342</v>
      </c>
      <c r="H56" s="630"/>
      <c r="I56" s="62"/>
      <c r="J56" s="62"/>
      <c r="K56" s="62"/>
      <c r="L56" s="62"/>
      <c r="M56" s="62"/>
      <c r="N56" s="62"/>
      <c r="O56" s="62"/>
      <c r="P56" s="62"/>
      <c r="Q56" s="62"/>
      <c r="R56" s="62"/>
      <c r="S56" s="62"/>
      <c r="T56" s="62"/>
    </row>
    <row r="57" spans="1:20" ht="180.75" thickBot="1">
      <c r="A57" s="1005"/>
      <c r="B57" s="1003"/>
      <c r="C57" s="615" t="s">
        <v>327</v>
      </c>
      <c r="D57" s="615" t="s">
        <v>267</v>
      </c>
      <c r="E57" s="529" t="e">
        <f>TRUNC((E55*E56)/E9,2)</f>
        <v>#DIV/0!</v>
      </c>
      <c r="F57" s="423" t="s">
        <v>264</v>
      </c>
      <c r="G57" s="616" t="s">
        <v>341</v>
      </c>
      <c r="H57" s="633"/>
      <c r="I57" s="62"/>
      <c r="J57" s="62"/>
      <c r="K57" s="62"/>
      <c r="L57" s="62"/>
      <c r="M57" s="62"/>
      <c r="N57" s="62"/>
      <c r="O57" s="62"/>
      <c r="P57" s="62"/>
      <c r="Q57" s="62"/>
      <c r="R57" s="62"/>
      <c r="S57" s="62"/>
      <c r="T57" s="62"/>
    </row>
    <row r="58" spans="1:20" ht="48" customHeight="1" thickBot="1">
      <c r="A58" s="1011"/>
      <c r="B58" s="1012" t="s">
        <v>374</v>
      </c>
      <c r="C58" s="1013"/>
      <c r="D58" s="1014"/>
      <c r="E58" s="531" t="e">
        <f>E42+E44+E54+E57</f>
        <v>#DIV/0!</v>
      </c>
      <c r="F58" s="623" t="s">
        <v>264</v>
      </c>
      <c r="G58" s="624" t="s">
        <v>330</v>
      </c>
      <c r="H58" s="637"/>
      <c r="I58" s="62"/>
      <c r="J58" s="62"/>
      <c r="K58" s="62"/>
      <c r="L58" s="62"/>
      <c r="M58" s="62"/>
      <c r="N58" s="62"/>
      <c r="O58" s="62"/>
      <c r="P58" s="62"/>
      <c r="Q58" s="62"/>
      <c r="R58" s="62"/>
      <c r="S58" s="62"/>
      <c r="T58" s="62"/>
    </row>
    <row r="59" spans="1:20" ht="37.5">
      <c r="A59" s="991" t="s">
        <v>331</v>
      </c>
      <c r="B59" s="992"/>
      <c r="C59" s="992"/>
      <c r="D59" s="992"/>
      <c r="E59" s="532" t="e">
        <f>(E34+E58)*(1+10%)</f>
        <v>#DIV/0!</v>
      </c>
      <c r="F59" s="625" t="s">
        <v>264</v>
      </c>
      <c r="G59" s="626" t="s">
        <v>378</v>
      </c>
      <c r="H59" s="638"/>
      <c r="I59" s="62"/>
      <c r="J59" s="62"/>
      <c r="K59" s="62"/>
      <c r="L59" s="62"/>
      <c r="M59" s="62"/>
      <c r="N59" s="62"/>
      <c r="O59" s="62"/>
      <c r="P59" s="62"/>
      <c r="Q59" s="62"/>
      <c r="R59" s="62"/>
      <c r="S59" s="62"/>
      <c r="T59" s="62"/>
    </row>
    <row r="60" spans="1:20" ht="19.5" thickBot="1">
      <c r="A60" s="993"/>
      <c r="B60" s="994"/>
      <c r="C60" s="994"/>
      <c r="D60" s="994"/>
      <c r="E60" s="533" t="e">
        <f>E59/E53</f>
        <v>#DIV/0!</v>
      </c>
      <c r="F60" s="627" t="s">
        <v>319</v>
      </c>
      <c r="G60" s="628" t="s">
        <v>352</v>
      </c>
      <c r="H60" s="639"/>
      <c r="I60" s="62"/>
      <c r="J60" s="62"/>
      <c r="K60" s="62"/>
      <c r="L60" s="62"/>
      <c r="M60" s="62"/>
      <c r="N60" s="62"/>
      <c r="O60" s="62"/>
      <c r="P60" s="62"/>
      <c r="Q60" s="62"/>
      <c r="R60" s="62"/>
      <c r="S60" s="62"/>
      <c r="T60" s="62"/>
    </row>
  </sheetData>
  <sheetProtection algorithmName="SHA-512" hashValue="Wxche/CIUbeKOwG1Srr9jjhkts+nfmlM18RisAeglUI+wuSj7fWv/fZZmhVDxStPQXVx/z85n6uVZC81V/CGSw==" saltValue="3BkozUyh1/zD8qtrr7QRUg==" spinCount="100000" sheet="1" objects="1" scenarios="1"/>
  <mergeCells count="61">
    <mergeCell ref="A5:A34"/>
    <mergeCell ref="B34:D34"/>
    <mergeCell ref="A35:A58"/>
    <mergeCell ref="B55:B57"/>
    <mergeCell ref="G38:G39"/>
    <mergeCell ref="B58:D58"/>
    <mergeCell ref="C40:C41"/>
    <mergeCell ref="E40:E41"/>
    <mergeCell ref="G40:G41"/>
    <mergeCell ref="C42:C43"/>
    <mergeCell ref="G42:G43"/>
    <mergeCell ref="G45:G47"/>
    <mergeCell ref="G50:G51"/>
    <mergeCell ref="C22:C23"/>
    <mergeCell ref="G22:G23"/>
    <mergeCell ref="B24:B33"/>
    <mergeCell ref="A59:D60"/>
    <mergeCell ref="B35:B43"/>
    <mergeCell ref="C35:C36"/>
    <mergeCell ref="E35:E36"/>
    <mergeCell ref="C38:C39"/>
    <mergeCell ref="E38:E39"/>
    <mergeCell ref="B45:B54"/>
    <mergeCell ref="C31:C32"/>
    <mergeCell ref="B13:B23"/>
    <mergeCell ref="D31:D32"/>
    <mergeCell ref="G31:G32"/>
    <mergeCell ref="C33:D33"/>
    <mergeCell ref="C13:C14"/>
    <mergeCell ref="G13:G18"/>
    <mergeCell ref="C15:C16"/>
    <mergeCell ref="G19:G20"/>
    <mergeCell ref="C27:C28"/>
    <mergeCell ref="D27:D28"/>
    <mergeCell ref="G27:G28"/>
    <mergeCell ref="C29:C30"/>
    <mergeCell ref="D29:D30"/>
    <mergeCell ref="G29:G30"/>
    <mergeCell ref="B5:B12"/>
    <mergeCell ref="C5:C6"/>
    <mergeCell ref="C7:C8"/>
    <mergeCell ref="C9:C10"/>
    <mergeCell ref="G9:G10"/>
    <mergeCell ref="C11:C12"/>
    <mergeCell ref="G11:G12"/>
    <mergeCell ref="H42:H43"/>
    <mergeCell ref="H45:H47"/>
    <mergeCell ref="H50:H51"/>
    <mergeCell ref="A1:H3"/>
    <mergeCell ref="H27:H28"/>
    <mergeCell ref="H29:H30"/>
    <mergeCell ref="H31:H32"/>
    <mergeCell ref="H38:H39"/>
    <mergeCell ref="H40:H41"/>
    <mergeCell ref="H9:H10"/>
    <mergeCell ref="H11:H12"/>
    <mergeCell ref="H13:H18"/>
    <mergeCell ref="H19:H20"/>
    <mergeCell ref="H22:H23"/>
    <mergeCell ref="C17:C18"/>
    <mergeCell ref="C19:C20"/>
  </mergeCells>
  <pageMargins left="0.511811024" right="0.511811024" top="0.78740157499999996" bottom="0.78740157499999996" header="0.31496062000000002" footer="0.31496062000000002"/>
  <pageSetup paperSize="9" scale="44" orientation="portrait" r:id="rId1"/>
  <drawing r:id="rId2"/>
  <legacyDrawing r:id="rId3"/>
  <oleObjects>
    <mc:AlternateContent xmlns:mc="http://schemas.openxmlformats.org/markup-compatibility/2006">
      <mc:Choice Requires="x14">
        <oleObject progId="CorelDraw.Graphic.18" shapeId="21505" r:id="rId4">
          <objectPr defaultSize="0" autoPict="0" r:id="rId5">
            <anchor moveWithCells="1">
              <from>
                <xdr:col>2</xdr:col>
                <xdr:colOff>1181100</xdr:colOff>
                <xdr:row>0</xdr:row>
                <xdr:rowOff>47625</xdr:rowOff>
              </from>
              <to>
                <xdr:col>3</xdr:col>
                <xdr:colOff>247650</xdr:colOff>
                <xdr:row>2</xdr:row>
                <xdr:rowOff>209550</xdr:rowOff>
              </to>
            </anchor>
          </objectPr>
        </oleObject>
      </mc:Choice>
      <mc:Fallback>
        <oleObject progId="CorelDraw.Graphic.18" shapeId="2150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B1D15-C7E8-48C6-9438-C42C0C7A0808}">
  <dimension ref="A1:T79"/>
  <sheetViews>
    <sheetView view="pageBreakPreview" topLeftCell="A4" zoomScale="85" zoomScaleNormal="55" zoomScaleSheetLayoutView="85" workbookViewId="0">
      <selection activeCell="G7" sqref="G7"/>
    </sheetView>
  </sheetViews>
  <sheetFormatPr defaultRowHeight="14.25"/>
  <cols>
    <col min="1" max="1" width="15.625" style="51" customWidth="1"/>
    <col min="2" max="2" width="17" style="51" customWidth="1"/>
    <col min="3" max="3" width="23.375" style="51" customWidth="1"/>
    <col min="4" max="4" width="15.125" style="51" bestFit="1" customWidth="1"/>
    <col min="5" max="5" width="15.75" style="51" bestFit="1" customWidth="1"/>
    <col min="6" max="6" width="11.125" style="51" customWidth="1"/>
    <col min="7" max="7" width="45.625" style="51" customWidth="1"/>
    <col min="8" max="8" width="46.625" style="51" customWidth="1"/>
    <col min="9" max="9" width="15.25" style="51" bestFit="1" customWidth="1"/>
    <col min="10" max="10" width="11.25" style="51" customWidth="1"/>
    <col min="11" max="11" width="19" style="51" bestFit="1" customWidth="1"/>
    <col min="12" max="16384" width="9" style="51"/>
  </cols>
  <sheetData>
    <row r="1" spans="1:20" ht="23.25" customHeight="1">
      <c r="A1" s="967" t="s">
        <v>604</v>
      </c>
      <c r="B1" s="968"/>
      <c r="C1" s="968"/>
      <c r="D1" s="968"/>
      <c r="E1" s="968"/>
      <c r="F1" s="968"/>
      <c r="G1" s="968"/>
      <c r="H1" s="968"/>
      <c r="I1" s="94"/>
      <c r="J1" s="94"/>
      <c r="K1" s="94"/>
      <c r="L1" s="94"/>
      <c r="M1" s="94"/>
      <c r="N1" s="94"/>
      <c r="O1" s="94"/>
    </row>
    <row r="2" spans="1:20" ht="24" customHeight="1">
      <c r="A2" s="967"/>
      <c r="B2" s="968"/>
      <c r="C2" s="968"/>
      <c r="D2" s="968"/>
      <c r="E2" s="968"/>
      <c r="F2" s="968"/>
      <c r="G2" s="968"/>
      <c r="H2" s="968"/>
      <c r="I2" s="94"/>
      <c r="J2" s="94"/>
      <c r="K2" s="94"/>
      <c r="L2" s="94"/>
      <c r="M2" s="94"/>
      <c r="N2" s="94"/>
      <c r="O2" s="94"/>
    </row>
    <row r="3" spans="1:20" ht="15" customHeight="1" thickBot="1">
      <c r="A3" s="969"/>
      <c r="B3" s="970"/>
      <c r="C3" s="970"/>
      <c r="D3" s="970"/>
      <c r="E3" s="970"/>
      <c r="F3" s="970"/>
      <c r="G3" s="970"/>
      <c r="H3" s="970"/>
      <c r="I3" s="94"/>
      <c r="J3" s="94"/>
      <c r="K3" s="94"/>
      <c r="L3" s="94"/>
      <c r="M3" s="94"/>
      <c r="N3" s="94"/>
      <c r="O3" s="94"/>
    </row>
    <row r="4" spans="1:20" ht="15.75" thickBot="1">
      <c r="A4" s="446" t="s">
        <v>249</v>
      </c>
      <c r="B4" s="447" t="s">
        <v>250</v>
      </c>
      <c r="C4" s="447" t="s">
        <v>251</v>
      </c>
      <c r="D4" s="447"/>
      <c r="E4" s="447" t="s">
        <v>252</v>
      </c>
      <c r="F4" s="447" t="s">
        <v>17</v>
      </c>
      <c r="G4" s="608" t="s">
        <v>555</v>
      </c>
      <c r="H4" s="608" t="s">
        <v>556</v>
      </c>
      <c r="I4" s="94"/>
      <c r="J4" s="94"/>
      <c r="K4" s="94"/>
      <c r="L4" s="94"/>
      <c r="M4" s="94"/>
      <c r="N4" s="94"/>
      <c r="O4" s="94"/>
    </row>
    <row r="5" spans="1:20" ht="120">
      <c r="A5" s="1004" t="s">
        <v>375</v>
      </c>
      <c r="B5" s="976" t="s">
        <v>336</v>
      </c>
      <c r="C5" s="978" t="s">
        <v>253</v>
      </c>
      <c r="D5" s="609" t="s">
        <v>254</v>
      </c>
      <c r="E5" s="520">
        <v>0</v>
      </c>
      <c r="F5" s="609" t="s">
        <v>255</v>
      </c>
      <c r="G5" s="610" t="s">
        <v>607</v>
      </c>
      <c r="H5" s="629"/>
      <c r="I5" s="105"/>
      <c r="J5" s="105"/>
      <c r="K5" s="105"/>
      <c r="L5" s="105"/>
      <c r="M5" s="105"/>
      <c r="N5" s="105"/>
      <c r="O5" s="105"/>
      <c r="P5" s="63"/>
      <c r="Q5" s="63"/>
      <c r="R5" s="63"/>
      <c r="S5" s="63"/>
      <c r="T5" s="63"/>
    </row>
    <row r="6" spans="1:20" ht="15">
      <c r="A6" s="1005"/>
      <c r="B6" s="977"/>
      <c r="C6" s="975"/>
      <c r="D6" s="611" t="s">
        <v>256</v>
      </c>
      <c r="E6" s="524">
        <f>E5*30%</f>
        <v>0</v>
      </c>
      <c r="F6" s="611" t="s">
        <v>255</v>
      </c>
      <c r="G6" s="612" t="s">
        <v>608</v>
      </c>
      <c r="H6" s="630"/>
      <c r="I6" s="105"/>
      <c r="J6" s="105"/>
      <c r="K6" s="105"/>
      <c r="L6" s="105"/>
      <c r="M6" s="105"/>
      <c r="N6" s="105"/>
      <c r="O6" s="105"/>
      <c r="P6" s="63"/>
      <c r="Q6" s="63"/>
      <c r="R6" s="63"/>
      <c r="S6" s="63"/>
      <c r="T6" s="63"/>
    </row>
    <row r="7" spans="1:20" ht="90">
      <c r="A7" s="1005"/>
      <c r="B7" s="977"/>
      <c r="C7" s="975" t="s">
        <v>257</v>
      </c>
      <c r="D7" s="611" t="s">
        <v>254</v>
      </c>
      <c r="E7" s="524">
        <f>E5*20%</f>
        <v>0</v>
      </c>
      <c r="F7" s="611" t="s">
        <v>255</v>
      </c>
      <c r="G7" s="612" t="s">
        <v>258</v>
      </c>
      <c r="H7" s="630"/>
      <c r="I7" s="105"/>
      <c r="J7" s="105"/>
      <c r="K7" s="105"/>
      <c r="L7" s="105"/>
      <c r="M7" s="105"/>
      <c r="N7" s="105"/>
      <c r="O7" s="105"/>
      <c r="P7" s="63"/>
      <c r="Q7" s="63"/>
      <c r="R7" s="63"/>
      <c r="S7" s="63"/>
      <c r="T7" s="63"/>
    </row>
    <row r="8" spans="1:20" ht="15">
      <c r="A8" s="1005"/>
      <c r="B8" s="977"/>
      <c r="C8" s="975"/>
      <c r="D8" s="611" t="s">
        <v>256</v>
      </c>
      <c r="E8" s="524">
        <f>E6*20%</f>
        <v>0</v>
      </c>
      <c r="F8" s="611" t="s">
        <v>255</v>
      </c>
      <c r="G8" s="613" t="s">
        <v>259</v>
      </c>
      <c r="H8" s="631"/>
      <c r="I8" s="105"/>
      <c r="J8" s="348"/>
      <c r="K8" s="348"/>
      <c r="L8" s="105"/>
      <c r="M8" s="105"/>
      <c r="N8" s="105"/>
      <c r="O8" s="105"/>
      <c r="P8" s="63"/>
      <c r="Q8" s="63"/>
      <c r="R8" s="63"/>
      <c r="S8" s="63"/>
      <c r="T8" s="63"/>
    </row>
    <row r="9" spans="1:20" ht="15">
      <c r="A9" s="1005"/>
      <c r="B9" s="977"/>
      <c r="C9" s="975" t="s">
        <v>260</v>
      </c>
      <c r="D9" s="609" t="s">
        <v>254</v>
      </c>
      <c r="E9" s="522">
        <v>0</v>
      </c>
      <c r="F9" s="611" t="s">
        <v>261</v>
      </c>
      <c r="G9" s="979" t="s">
        <v>262</v>
      </c>
      <c r="H9" s="973"/>
      <c r="I9" s="105"/>
      <c r="J9" s="105"/>
      <c r="K9" s="105"/>
      <c r="L9" s="105"/>
      <c r="M9" s="105"/>
      <c r="N9" s="105"/>
      <c r="O9" s="105"/>
      <c r="P9" s="63"/>
      <c r="Q9" s="63"/>
      <c r="R9" s="63"/>
      <c r="S9" s="63"/>
      <c r="T9" s="63"/>
    </row>
    <row r="10" spans="1:20" ht="15">
      <c r="A10" s="1005"/>
      <c r="B10" s="977"/>
      <c r="C10" s="975"/>
      <c r="D10" s="611" t="s">
        <v>256</v>
      </c>
      <c r="E10" s="522">
        <v>0</v>
      </c>
      <c r="F10" s="611" t="s">
        <v>261</v>
      </c>
      <c r="G10" s="979"/>
      <c r="H10" s="973"/>
      <c r="I10" s="105"/>
      <c r="J10" s="349"/>
      <c r="K10" s="105"/>
      <c r="L10" s="105"/>
      <c r="M10" s="105"/>
      <c r="N10" s="105"/>
      <c r="O10" s="105"/>
      <c r="P10" s="63"/>
      <c r="Q10" s="63"/>
      <c r="R10" s="63"/>
      <c r="S10" s="63"/>
      <c r="T10" s="63"/>
    </row>
    <row r="11" spans="1:20" ht="36.75" customHeight="1">
      <c r="A11" s="1005"/>
      <c r="B11" s="977"/>
      <c r="C11" s="975" t="s">
        <v>263</v>
      </c>
      <c r="D11" s="611" t="s">
        <v>254</v>
      </c>
      <c r="E11" s="521" t="e">
        <f>(E5-E7)/E9</f>
        <v>#DIV/0!</v>
      </c>
      <c r="F11" s="611" t="s">
        <v>264</v>
      </c>
      <c r="G11" s="979" t="s">
        <v>265</v>
      </c>
      <c r="H11" s="973"/>
      <c r="I11" s="105"/>
      <c r="J11" s="105"/>
      <c r="K11" s="105"/>
      <c r="L11" s="105"/>
      <c r="M11" s="105"/>
      <c r="N11" s="105"/>
      <c r="O11" s="105"/>
      <c r="P11" s="63"/>
      <c r="Q11" s="63"/>
      <c r="R11" s="63"/>
      <c r="S11" s="63"/>
      <c r="T11" s="63"/>
    </row>
    <row r="12" spans="1:20" ht="15">
      <c r="A12" s="1005"/>
      <c r="B12" s="977"/>
      <c r="C12" s="975"/>
      <c r="D12" s="611" t="s">
        <v>256</v>
      </c>
      <c r="E12" s="521" t="e">
        <f>(E6-E8)/E10</f>
        <v>#DIV/0!</v>
      </c>
      <c r="F12" s="611" t="s">
        <v>264</v>
      </c>
      <c r="G12" s="980"/>
      <c r="H12" s="974"/>
      <c r="I12" s="105"/>
      <c r="J12" s="105"/>
      <c r="K12" s="105"/>
      <c r="L12" s="105"/>
      <c r="M12" s="105"/>
      <c r="N12" s="105"/>
      <c r="O12" s="105"/>
      <c r="P12" s="63"/>
      <c r="Q12" s="63"/>
      <c r="R12" s="63"/>
      <c r="S12" s="63"/>
      <c r="T12" s="63"/>
    </row>
    <row r="13" spans="1:20" ht="28.5" customHeight="1">
      <c r="A13" s="1005"/>
      <c r="B13" s="977" t="s">
        <v>337</v>
      </c>
      <c r="C13" s="975" t="s">
        <v>266</v>
      </c>
      <c r="D13" s="611" t="s">
        <v>267</v>
      </c>
      <c r="E13" s="523">
        <v>0</v>
      </c>
      <c r="F13" s="611" t="s">
        <v>268</v>
      </c>
      <c r="G13" s="979" t="s">
        <v>269</v>
      </c>
      <c r="H13" s="973"/>
      <c r="I13" s="105"/>
      <c r="J13" s="105"/>
      <c r="K13" s="105"/>
      <c r="L13" s="105"/>
      <c r="M13" s="105"/>
      <c r="N13" s="105"/>
      <c r="O13" s="105"/>
      <c r="P13" s="63"/>
      <c r="Q13" s="63"/>
      <c r="R13" s="63"/>
      <c r="S13" s="63"/>
      <c r="T13" s="63"/>
    </row>
    <row r="14" spans="1:20" ht="15">
      <c r="A14" s="1005"/>
      <c r="B14" s="977"/>
      <c r="C14" s="975"/>
      <c r="D14" s="428" t="s">
        <v>256</v>
      </c>
      <c r="E14" s="523">
        <v>0</v>
      </c>
      <c r="F14" s="428" t="s">
        <v>268</v>
      </c>
      <c r="G14" s="979"/>
      <c r="H14" s="973"/>
      <c r="I14" s="105"/>
      <c r="J14" s="105"/>
      <c r="K14" s="105"/>
      <c r="L14" s="105"/>
      <c r="M14" s="105"/>
      <c r="N14" s="105"/>
      <c r="O14" s="105"/>
      <c r="P14" s="63"/>
      <c r="Q14" s="63"/>
      <c r="R14" s="63"/>
      <c r="S14" s="63"/>
      <c r="T14" s="63"/>
    </row>
    <row r="15" spans="1:20" ht="30">
      <c r="A15" s="1005"/>
      <c r="B15" s="977"/>
      <c r="C15" s="975" t="s">
        <v>270</v>
      </c>
      <c r="D15" s="611" t="s">
        <v>267</v>
      </c>
      <c r="E15" s="521" t="e">
        <f>E5-(E11*12)</f>
        <v>#DIV/0!</v>
      </c>
      <c r="F15" s="611" t="s">
        <v>255</v>
      </c>
      <c r="G15" s="979"/>
      <c r="H15" s="973"/>
      <c r="I15" s="105"/>
      <c r="J15" s="105"/>
      <c r="K15" s="105"/>
      <c r="L15" s="105"/>
      <c r="M15" s="105"/>
      <c r="N15" s="105"/>
      <c r="O15" s="105"/>
      <c r="P15" s="63"/>
      <c r="Q15" s="63"/>
      <c r="R15" s="63"/>
      <c r="S15" s="63"/>
      <c r="T15" s="63"/>
    </row>
    <row r="16" spans="1:20" ht="15">
      <c r="A16" s="1005"/>
      <c r="B16" s="977"/>
      <c r="C16" s="975"/>
      <c r="D16" s="428" t="s">
        <v>256</v>
      </c>
      <c r="E16" s="521" t="e">
        <f>E6-(E12*12)</f>
        <v>#DIV/0!</v>
      </c>
      <c r="F16" s="611" t="s">
        <v>255</v>
      </c>
      <c r="G16" s="979"/>
      <c r="H16" s="973"/>
      <c r="I16" s="105"/>
      <c r="J16" s="105"/>
      <c r="K16" s="105"/>
      <c r="L16" s="105"/>
      <c r="M16" s="105"/>
      <c r="N16" s="105"/>
      <c r="O16" s="105"/>
      <c r="P16" s="63"/>
      <c r="Q16" s="63"/>
      <c r="R16" s="63"/>
      <c r="S16" s="63"/>
      <c r="T16" s="63"/>
    </row>
    <row r="17" spans="1:20" ht="30">
      <c r="A17" s="1005"/>
      <c r="B17" s="977"/>
      <c r="C17" s="975" t="s">
        <v>271</v>
      </c>
      <c r="D17" s="611" t="s">
        <v>267</v>
      </c>
      <c r="E17" s="523">
        <v>0</v>
      </c>
      <c r="F17" s="611" t="s">
        <v>268</v>
      </c>
      <c r="G17" s="979"/>
      <c r="H17" s="973"/>
      <c r="I17" s="105"/>
      <c r="J17" s="105"/>
      <c r="K17" s="105"/>
      <c r="L17" s="105"/>
      <c r="M17" s="105"/>
      <c r="N17" s="105"/>
      <c r="O17" s="105"/>
      <c r="P17" s="63"/>
      <c r="Q17" s="63"/>
      <c r="R17" s="63"/>
      <c r="S17" s="63"/>
      <c r="T17" s="63"/>
    </row>
    <row r="18" spans="1:20" ht="15">
      <c r="A18" s="1005"/>
      <c r="B18" s="977"/>
      <c r="C18" s="975"/>
      <c r="D18" s="428" t="s">
        <v>256</v>
      </c>
      <c r="E18" s="523">
        <v>0</v>
      </c>
      <c r="F18" s="611" t="s">
        <v>268</v>
      </c>
      <c r="G18" s="979"/>
      <c r="H18" s="973"/>
      <c r="I18" s="105"/>
      <c r="J18" s="105"/>
      <c r="K18" s="105"/>
      <c r="L18" s="105"/>
      <c r="M18" s="105"/>
      <c r="N18" s="105"/>
      <c r="O18" s="105"/>
      <c r="P18" s="63"/>
      <c r="Q18" s="63"/>
      <c r="R18" s="63"/>
      <c r="S18" s="63"/>
      <c r="T18" s="63"/>
    </row>
    <row r="19" spans="1:20" ht="30">
      <c r="A19" s="1005"/>
      <c r="B19" s="977"/>
      <c r="C19" s="975" t="s">
        <v>272</v>
      </c>
      <c r="D19" s="611" t="s">
        <v>267</v>
      </c>
      <c r="E19" s="525" t="e">
        <f>((E15-E7)*(E17+1)/2*E17)+E7</f>
        <v>#DIV/0!</v>
      </c>
      <c r="F19" s="611" t="s">
        <v>255</v>
      </c>
      <c r="G19" s="987" t="s">
        <v>273</v>
      </c>
      <c r="H19" s="960"/>
      <c r="I19" s="105"/>
      <c r="J19" s="105"/>
      <c r="K19" s="105"/>
      <c r="L19" s="105"/>
      <c r="M19" s="105"/>
      <c r="N19" s="105"/>
      <c r="O19" s="105"/>
      <c r="P19" s="63"/>
      <c r="Q19" s="63"/>
      <c r="R19" s="63"/>
      <c r="S19" s="63"/>
      <c r="T19" s="63"/>
    </row>
    <row r="20" spans="1:20" ht="15">
      <c r="A20" s="1005"/>
      <c r="B20" s="977"/>
      <c r="C20" s="975"/>
      <c r="D20" s="428" t="s">
        <v>256</v>
      </c>
      <c r="E20" s="525" t="e">
        <f>((E16-E8)*(E18+1)/2*E18)+E8</f>
        <v>#DIV/0!</v>
      </c>
      <c r="F20" s="611" t="s">
        <v>255</v>
      </c>
      <c r="G20" s="988"/>
      <c r="H20" s="961"/>
      <c r="I20" s="105"/>
      <c r="J20" s="105"/>
      <c r="K20" s="105"/>
      <c r="L20" s="105"/>
      <c r="M20" s="105"/>
      <c r="N20" s="105"/>
      <c r="O20" s="105"/>
      <c r="P20" s="63"/>
      <c r="Q20" s="63"/>
      <c r="R20" s="63"/>
      <c r="S20" s="63"/>
      <c r="T20" s="63"/>
    </row>
    <row r="21" spans="1:20" ht="45">
      <c r="A21" s="1005"/>
      <c r="B21" s="977"/>
      <c r="C21" s="611" t="s">
        <v>274</v>
      </c>
      <c r="D21" s="428" t="s">
        <v>16</v>
      </c>
      <c r="E21" s="526">
        <f>SELIC</f>
        <v>0</v>
      </c>
      <c r="F21" s="428" t="s">
        <v>275</v>
      </c>
      <c r="G21" s="612" t="s">
        <v>276</v>
      </c>
      <c r="H21" s="630"/>
      <c r="I21" s="105"/>
      <c r="J21" s="105"/>
      <c r="K21" s="105"/>
      <c r="L21" s="105"/>
      <c r="M21" s="105"/>
      <c r="N21" s="105"/>
      <c r="O21" s="105"/>
      <c r="P21" s="63"/>
      <c r="Q21" s="63"/>
      <c r="R21" s="63"/>
      <c r="S21" s="63"/>
      <c r="T21" s="63"/>
    </row>
    <row r="22" spans="1:20" ht="30">
      <c r="A22" s="1005"/>
      <c r="B22" s="977"/>
      <c r="C22" s="975" t="s">
        <v>277</v>
      </c>
      <c r="D22" s="611" t="s">
        <v>267</v>
      </c>
      <c r="E22" s="525" t="e">
        <f>(E19*E21)/12</f>
        <v>#DIV/0!</v>
      </c>
      <c r="F22" s="611" t="s">
        <v>255</v>
      </c>
      <c r="G22" s="980" t="s">
        <v>278</v>
      </c>
      <c r="H22" s="974"/>
      <c r="I22" s="105"/>
      <c r="J22" s="105"/>
      <c r="K22" s="105"/>
      <c r="L22" s="105"/>
      <c r="M22" s="105"/>
      <c r="N22" s="105"/>
      <c r="O22" s="105"/>
      <c r="P22" s="63"/>
      <c r="Q22" s="63"/>
      <c r="R22" s="63"/>
      <c r="S22" s="63"/>
      <c r="T22" s="63"/>
    </row>
    <row r="23" spans="1:20" ht="15">
      <c r="A23" s="1005"/>
      <c r="B23" s="977"/>
      <c r="C23" s="975"/>
      <c r="D23" s="428" t="s">
        <v>256</v>
      </c>
      <c r="E23" s="525" t="e">
        <f>(E20*E21)/12</f>
        <v>#DIV/0!</v>
      </c>
      <c r="F23" s="611" t="s">
        <v>255</v>
      </c>
      <c r="G23" s="980"/>
      <c r="H23" s="974"/>
      <c r="I23" s="105"/>
      <c r="J23" s="105"/>
      <c r="K23" s="105"/>
      <c r="L23" s="105"/>
      <c r="M23" s="105"/>
      <c r="N23" s="105"/>
      <c r="O23" s="105"/>
      <c r="P23" s="63"/>
      <c r="Q23" s="63"/>
      <c r="R23" s="63"/>
      <c r="S23" s="63"/>
      <c r="T23" s="63"/>
    </row>
    <row r="24" spans="1:20" ht="60">
      <c r="A24" s="1005"/>
      <c r="B24" s="1020" t="s">
        <v>338</v>
      </c>
      <c r="C24" s="611" t="s">
        <v>279</v>
      </c>
      <c r="D24" s="611" t="s">
        <v>267</v>
      </c>
      <c r="E24" s="526">
        <v>0.01</v>
      </c>
      <c r="F24" s="611" t="s">
        <v>280</v>
      </c>
      <c r="G24" s="612" t="s">
        <v>281</v>
      </c>
      <c r="H24" s="630"/>
      <c r="I24" s="105"/>
      <c r="J24" s="105"/>
      <c r="K24" s="105"/>
      <c r="L24" s="105"/>
      <c r="M24" s="105"/>
      <c r="N24" s="105"/>
      <c r="O24" s="105"/>
      <c r="P24" s="63"/>
      <c r="Q24" s="63"/>
      <c r="R24" s="63"/>
      <c r="S24" s="63"/>
      <c r="T24" s="63"/>
    </row>
    <row r="25" spans="1:20" ht="60">
      <c r="A25" s="1005"/>
      <c r="B25" s="1003"/>
      <c r="C25" s="611" t="s">
        <v>282</v>
      </c>
      <c r="D25" s="611" t="s">
        <v>267</v>
      </c>
      <c r="E25" s="534" t="e">
        <f>E15</f>
        <v>#DIV/0!</v>
      </c>
      <c r="F25" s="611" t="s">
        <v>255</v>
      </c>
      <c r="G25" s="614" t="s">
        <v>16</v>
      </c>
      <c r="H25" s="632"/>
      <c r="I25" s="105"/>
      <c r="J25" s="105"/>
      <c r="K25" s="105"/>
      <c r="L25" s="105"/>
      <c r="M25" s="105"/>
      <c r="N25" s="105"/>
      <c r="O25" s="105"/>
      <c r="P25" s="63"/>
      <c r="Q25" s="63"/>
      <c r="R25" s="63"/>
      <c r="S25" s="63"/>
      <c r="T25" s="63"/>
    </row>
    <row r="26" spans="1:20" ht="30">
      <c r="A26" s="1005"/>
      <c r="B26" s="1003"/>
      <c r="C26" s="428" t="s">
        <v>284</v>
      </c>
      <c r="D26" s="611" t="s">
        <v>267</v>
      </c>
      <c r="E26" s="534" t="e">
        <f>(E15*E24)/12</f>
        <v>#DIV/0!</v>
      </c>
      <c r="F26" s="611" t="s">
        <v>264</v>
      </c>
      <c r="G26" s="614" t="s">
        <v>283</v>
      </c>
      <c r="H26" s="632"/>
      <c r="I26" s="105"/>
      <c r="J26" s="105"/>
      <c r="K26" s="105"/>
      <c r="L26" s="105"/>
      <c r="M26" s="105"/>
      <c r="N26" s="105"/>
      <c r="O26" s="105"/>
      <c r="P26" s="63"/>
      <c r="Q26" s="63"/>
      <c r="R26" s="63"/>
      <c r="S26" s="63"/>
      <c r="T26" s="63"/>
    </row>
    <row r="27" spans="1:20" ht="30" customHeight="1">
      <c r="A27" s="1005"/>
      <c r="B27" s="1003"/>
      <c r="C27" s="981" t="s">
        <v>285</v>
      </c>
      <c r="D27" s="982" t="s">
        <v>267</v>
      </c>
      <c r="E27" s="525">
        <v>0</v>
      </c>
      <c r="F27" s="611" t="s">
        <v>286</v>
      </c>
      <c r="G27" s="989" t="s">
        <v>287</v>
      </c>
      <c r="H27" s="962"/>
      <c r="I27" s="105"/>
      <c r="J27" s="105"/>
      <c r="K27" s="105"/>
      <c r="L27" s="105"/>
      <c r="M27" s="105"/>
      <c r="N27" s="105"/>
      <c r="O27" s="105"/>
      <c r="P27" s="63"/>
      <c r="Q27" s="63"/>
      <c r="R27" s="63"/>
      <c r="S27" s="63"/>
      <c r="T27" s="63"/>
    </row>
    <row r="28" spans="1:20" ht="15">
      <c r="A28" s="1005"/>
      <c r="B28" s="1003"/>
      <c r="C28" s="853"/>
      <c r="D28" s="978"/>
      <c r="E28" s="525">
        <v>0</v>
      </c>
      <c r="F28" s="611" t="s">
        <v>264</v>
      </c>
      <c r="G28" s="990"/>
      <c r="H28" s="964"/>
      <c r="I28" s="105"/>
      <c r="J28" s="105"/>
      <c r="K28" s="105"/>
      <c r="L28" s="105"/>
      <c r="M28" s="105"/>
      <c r="N28" s="105"/>
      <c r="O28" s="105"/>
      <c r="P28" s="63"/>
      <c r="Q28" s="63"/>
      <c r="R28" s="63"/>
      <c r="S28" s="63"/>
      <c r="T28" s="63"/>
    </row>
    <row r="29" spans="1:20" ht="14.25" customHeight="1">
      <c r="A29" s="1005"/>
      <c r="B29" s="1003"/>
      <c r="C29" s="981" t="s">
        <v>288</v>
      </c>
      <c r="D29" s="982" t="s">
        <v>267</v>
      </c>
      <c r="E29" s="525">
        <v>0</v>
      </c>
      <c r="F29" s="611" t="s">
        <v>286</v>
      </c>
      <c r="G29" s="989" t="s">
        <v>557</v>
      </c>
      <c r="H29" s="962"/>
      <c r="I29" s="105"/>
      <c r="J29" s="105"/>
      <c r="K29" s="105"/>
      <c r="L29" s="105"/>
      <c r="M29" s="105"/>
      <c r="N29" s="105"/>
      <c r="O29" s="105"/>
      <c r="P29" s="63"/>
      <c r="Q29" s="63"/>
      <c r="R29" s="63"/>
      <c r="S29" s="63"/>
      <c r="T29" s="63"/>
    </row>
    <row r="30" spans="1:20" ht="38.25" customHeight="1">
      <c r="A30" s="1005"/>
      <c r="B30" s="1003"/>
      <c r="C30" s="853"/>
      <c r="D30" s="978"/>
      <c r="E30" s="525">
        <v>0</v>
      </c>
      <c r="F30" s="611" t="s">
        <v>264</v>
      </c>
      <c r="G30" s="990"/>
      <c r="H30" s="964"/>
      <c r="I30" s="348"/>
      <c r="J30" s="105"/>
      <c r="K30" s="105"/>
      <c r="L30" s="105"/>
      <c r="M30" s="105"/>
      <c r="N30" s="105"/>
      <c r="O30" s="105"/>
      <c r="P30" s="63"/>
      <c r="Q30" s="63"/>
      <c r="R30" s="63"/>
      <c r="S30" s="63"/>
      <c r="T30" s="63"/>
    </row>
    <row r="31" spans="1:20" ht="15">
      <c r="A31" s="1005"/>
      <c r="B31" s="1003"/>
      <c r="C31" s="981" t="s">
        <v>290</v>
      </c>
      <c r="D31" s="982" t="s">
        <v>267</v>
      </c>
      <c r="E31" s="527">
        <f>E5*2%</f>
        <v>0</v>
      </c>
      <c r="F31" s="611" t="s">
        <v>286</v>
      </c>
      <c r="G31" s="983">
        <v>0.02</v>
      </c>
      <c r="H31" s="971"/>
      <c r="I31" s="105"/>
      <c r="J31" s="105"/>
      <c r="K31" s="105"/>
      <c r="L31" s="105"/>
      <c r="M31" s="105"/>
      <c r="N31" s="105"/>
      <c r="O31" s="105"/>
      <c r="P31" s="63"/>
      <c r="Q31" s="63"/>
      <c r="R31" s="63"/>
      <c r="S31" s="63"/>
      <c r="T31" s="63"/>
    </row>
    <row r="32" spans="1:20" ht="15">
      <c r="A32" s="1005"/>
      <c r="B32" s="1003"/>
      <c r="C32" s="853"/>
      <c r="D32" s="978"/>
      <c r="E32" s="525">
        <f>E31/12</f>
        <v>0</v>
      </c>
      <c r="F32" s="611" t="s">
        <v>264</v>
      </c>
      <c r="G32" s="984"/>
      <c r="H32" s="972"/>
      <c r="I32" s="105"/>
      <c r="J32" s="105"/>
      <c r="K32" s="105"/>
      <c r="L32" s="105"/>
      <c r="M32" s="105"/>
      <c r="N32" s="105"/>
      <c r="O32" s="105"/>
      <c r="P32" s="63"/>
      <c r="Q32" s="63"/>
      <c r="R32" s="63"/>
      <c r="S32" s="63"/>
      <c r="T32" s="63"/>
    </row>
    <row r="33" spans="1:20" ht="45.75" thickBot="1">
      <c r="A33" s="1005"/>
      <c r="B33" s="1003"/>
      <c r="C33" s="985" t="s">
        <v>291</v>
      </c>
      <c r="D33" s="986"/>
      <c r="E33" s="535" t="e">
        <f>E26+E28+E30+E32</f>
        <v>#DIV/0!</v>
      </c>
      <c r="F33" s="615" t="s">
        <v>264</v>
      </c>
      <c r="G33" s="616" t="s">
        <v>292</v>
      </c>
      <c r="H33" s="633"/>
      <c r="I33" s="105"/>
      <c r="J33" s="105"/>
      <c r="K33" s="105"/>
      <c r="L33" s="105"/>
      <c r="M33" s="105"/>
      <c r="N33" s="105"/>
      <c r="O33" s="105"/>
      <c r="P33" s="63"/>
      <c r="Q33" s="63"/>
      <c r="R33" s="63"/>
      <c r="S33" s="63"/>
      <c r="T33" s="63"/>
    </row>
    <row r="34" spans="1:20" ht="41.25" customHeight="1" thickBot="1">
      <c r="A34" s="1006"/>
      <c r="B34" s="1007" t="s">
        <v>340</v>
      </c>
      <c r="C34" s="1008"/>
      <c r="D34" s="1009"/>
      <c r="E34" s="528" t="e">
        <f>(E11+E12)+(E22+E23)+E33</f>
        <v>#DIV/0!</v>
      </c>
      <c r="F34" s="617" t="s">
        <v>264</v>
      </c>
      <c r="G34" s="618" t="s">
        <v>328</v>
      </c>
      <c r="H34" s="634"/>
      <c r="I34" s="105"/>
      <c r="J34" s="105"/>
      <c r="K34" s="105"/>
      <c r="L34" s="105"/>
      <c r="M34" s="105"/>
      <c r="N34" s="105"/>
      <c r="O34" s="105"/>
      <c r="P34" s="63"/>
      <c r="Q34" s="63"/>
      <c r="R34" s="63"/>
      <c r="S34" s="63"/>
      <c r="T34" s="63"/>
    </row>
    <row r="35" spans="1:20" ht="59.25" customHeight="1">
      <c r="A35" s="1010" t="s">
        <v>376</v>
      </c>
      <c r="B35" s="1003" t="s">
        <v>335</v>
      </c>
      <c r="C35" s="997" t="s">
        <v>293</v>
      </c>
      <c r="D35" s="609" t="s">
        <v>346</v>
      </c>
      <c r="E35" s="536">
        <v>0</v>
      </c>
      <c r="F35" s="436" t="s">
        <v>295</v>
      </c>
      <c r="G35" s="1022" t="s">
        <v>354</v>
      </c>
      <c r="H35" s="1021"/>
      <c r="I35" s="105"/>
      <c r="J35" s="105"/>
      <c r="K35" s="105"/>
      <c r="L35" s="105"/>
      <c r="M35" s="105"/>
      <c r="N35" s="105"/>
      <c r="O35" s="105"/>
      <c r="P35" s="63"/>
      <c r="Q35" s="63"/>
      <c r="R35" s="63"/>
      <c r="S35" s="63"/>
      <c r="T35" s="63"/>
    </row>
    <row r="36" spans="1:20" ht="134.25" customHeight="1">
      <c r="A36" s="1005"/>
      <c r="B36" s="1003"/>
      <c r="C36" s="998"/>
      <c r="D36" s="611" t="s">
        <v>353</v>
      </c>
      <c r="E36" s="537">
        <v>0</v>
      </c>
      <c r="F36" s="428" t="s">
        <v>295</v>
      </c>
      <c r="G36" s="990"/>
      <c r="H36" s="964"/>
      <c r="I36" s="105"/>
      <c r="J36" s="105"/>
      <c r="K36" s="105"/>
      <c r="L36" s="105"/>
      <c r="M36" s="105"/>
      <c r="N36" s="105"/>
      <c r="O36" s="105"/>
      <c r="P36" s="63"/>
      <c r="Q36" s="63"/>
      <c r="R36" s="63"/>
      <c r="S36" s="63"/>
      <c r="T36" s="63"/>
    </row>
    <row r="37" spans="1:20" ht="105">
      <c r="A37" s="1005"/>
      <c r="B37" s="1003"/>
      <c r="C37" s="611" t="s">
        <v>298</v>
      </c>
      <c r="D37" s="428" t="s">
        <v>299</v>
      </c>
      <c r="E37" s="525">
        <f>[0]!DIESEL</f>
        <v>0</v>
      </c>
      <c r="F37" s="428" t="s">
        <v>300</v>
      </c>
      <c r="G37" s="620" t="s">
        <v>347</v>
      </c>
      <c r="H37" s="636"/>
      <c r="I37" s="105"/>
      <c r="J37" s="105"/>
      <c r="K37" s="105"/>
      <c r="L37" s="105"/>
      <c r="M37" s="105"/>
      <c r="N37" s="105"/>
      <c r="O37" s="105"/>
      <c r="P37" s="63"/>
      <c r="Q37" s="63"/>
      <c r="R37" s="63"/>
      <c r="S37" s="63"/>
      <c r="T37" s="63"/>
    </row>
    <row r="38" spans="1:20" ht="45" customHeight="1">
      <c r="A38" s="1005"/>
      <c r="B38" s="1003"/>
      <c r="C38" s="982" t="s">
        <v>301</v>
      </c>
      <c r="D38" s="611" t="s">
        <v>346</v>
      </c>
      <c r="E38" s="538">
        <f>E35*E37</f>
        <v>0</v>
      </c>
      <c r="F38" s="428" t="s">
        <v>302</v>
      </c>
      <c r="G38" s="989" t="s">
        <v>303</v>
      </c>
      <c r="H38" s="962"/>
      <c r="I38" s="105"/>
      <c r="J38" s="105"/>
      <c r="K38" s="105"/>
      <c r="L38" s="105"/>
      <c r="M38" s="105"/>
      <c r="N38" s="105"/>
      <c r="O38" s="105"/>
      <c r="P38" s="63"/>
      <c r="Q38" s="63"/>
      <c r="R38" s="63"/>
      <c r="S38" s="63"/>
      <c r="T38" s="63"/>
    </row>
    <row r="39" spans="1:20" ht="105">
      <c r="A39" s="1005"/>
      <c r="B39" s="1003"/>
      <c r="C39" s="978"/>
      <c r="D39" s="611" t="s">
        <v>353</v>
      </c>
      <c r="E39" s="538">
        <f>E36*E38</f>
        <v>0</v>
      </c>
      <c r="F39" s="428" t="s">
        <v>302</v>
      </c>
      <c r="G39" s="990"/>
      <c r="H39" s="964"/>
      <c r="I39" s="105"/>
      <c r="J39" s="105"/>
      <c r="K39" s="105"/>
      <c r="L39" s="105"/>
      <c r="M39" s="105"/>
      <c r="N39" s="105"/>
      <c r="O39" s="105"/>
      <c r="P39" s="63"/>
      <c r="Q39" s="63"/>
      <c r="R39" s="63"/>
      <c r="S39" s="63"/>
      <c r="T39" s="63"/>
    </row>
    <row r="40" spans="1:20" ht="75" customHeight="1">
      <c r="A40" s="1005"/>
      <c r="B40" s="1003"/>
      <c r="C40" s="982" t="s">
        <v>304</v>
      </c>
      <c r="D40" s="611" t="s">
        <v>346</v>
      </c>
      <c r="E40" s="640">
        <f>TRUNC(SUM('COLETA RURAL'!J6:J15)*semanas_mês,2)</f>
        <v>164.16</v>
      </c>
      <c r="F40" s="428" t="s">
        <v>9</v>
      </c>
      <c r="G40" s="641" t="s">
        <v>348</v>
      </c>
      <c r="H40" s="644"/>
      <c r="I40" s="350"/>
      <c r="J40" s="105"/>
      <c r="K40" s="105"/>
      <c r="L40" s="105"/>
      <c r="M40" s="105"/>
      <c r="N40" s="105"/>
      <c r="O40" s="105"/>
      <c r="P40" s="63"/>
      <c r="Q40" s="63"/>
      <c r="R40" s="63"/>
      <c r="S40" s="63"/>
      <c r="T40" s="63"/>
    </row>
    <row r="41" spans="1:20" ht="90">
      <c r="A41" s="1005"/>
      <c r="B41" s="1003"/>
      <c r="C41" s="978"/>
      <c r="D41" s="611" t="s">
        <v>470</v>
      </c>
      <c r="E41" s="640">
        <f>TRUNC(SUM('COLETA RURAL'!I6:I15)*semanas_mês,2)</f>
        <v>2554.9699999999998</v>
      </c>
      <c r="F41" s="428" t="s">
        <v>9</v>
      </c>
      <c r="G41" s="642" t="s">
        <v>349</v>
      </c>
      <c r="H41" s="645"/>
      <c r="I41" s="105"/>
      <c r="J41" s="105"/>
      <c r="K41" s="105"/>
      <c r="L41" s="105"/>
      <c r="M41" s="105"/>
      <c r="N41" s="105"/>
      <c r="O41" s="105"/>
      <c r="P41" s="63"/>
      <c r="Q41" s="63"/>
      <c r="R41" s="63"/>
      <c r="S41" s="63"/>
      <c r="T41" s="63"/>
    </row>
    <row r="42" spans="1:20" ht="45" customHeight="1">
      <c r="A42" s="1005"/>
      <c r="B42" s="1003"/>
      <c r="C42" s="982" t="s">
        <v>305</v>
      </c>
      <c r="D42" s="611" t="s">
        <v>346</v>
      </c>
      <c r="E42" s="525">
        <f>E38*E40</f>
        <v>0</v>
      </c>
      <c r="F42" s="428" t="s">
        <v>302</v>
      </c>
      <c r="G42" s="987" t="s">
        <v>306</v>
      </c>
      <c r="H42" s="960"/>
      <c r="I42" s="105"/>
      <c r="J42" s="105"/>
      <c r="K42" s="105"/>
      <c r="L42" s="105"/>
      <c r="M42" s="105"/>
      <c r="N42" s="105"/>
      <c r="O42" s="105"/>
      <c r="P42" s="63"/>
      <c r="Q42" s="63"/>
      <c r="R42" s="63"/>
      <c r="S42" s="63"/>
      <c r="T42" s="63"/>
    </row>
    <row r="43" spans="1:20" ht="105">
      <c r="A43" s="1005"/>
      <c r="B43" s="976"/>
      <c r="C43" s="978"/>
      <c r="D43" s="611" t="s">
        <v>353</v>
      </c>
      <c r="E43" s="525">
        <f>E39*E41</f>
        <v>0</v>
      </c>
      <c r="F43" s="428" t="s">
        <v>302</v>
      </c>
      <c r="G43" s="988"/>
      <c r="H43" s="961"/>
      <c r="I43" s="105"/>
      <c r="J43" s="105"/>
      <c r="K43" s="105"/>
      <c r="L43" s="105"/>
      <c r="M43" s="105"/>
      <c r="N43" s="105"/>
      <c r="O43" s="105"/>
      <c r="P43" s="63"/>
      <c r="Q43" s="63"/>
      <c r="R43" s="63"/>
      <c r="S43" s="63"/>
      <c r="T43" s="63"/>
    </row>
    <row r="44" spans="1:20" ht="28.5" customHeight="1">
      <c r="A44" s="1005"/>
      <c r="B44" s="621" t="s">
        <v>334</v>
      </c>
      <c r="C44" s="611" t="s">
        <v>307</v>
      </c>
      <c r="D44" s="611" t="s">
        <v>267</v>
      </c>
      <c r="E44" s="525">
        <f>SUM(E42:E43)*0.1</f>
        <v>0</v>
      </c>
      <c r="F44" s="428" t="s">
        <v>302</v>
      </c>
      <c r="G44" s="613" t="s">
        <v>308</v>
      </c>
      <c r="H44" s="631"/>
      <c r="I44" s="105"/>
      <c r="J44" s="105"/>
      <c r="K44" s="105"/>
      <c r="L44" s="105"/>
      <c r="M44" s="105"/>
      <c r="N44" s="105"/>
      <c r="O44" s="105"/>
      <c r="P44" s="63"/>
      <c r="Q44" s="63"/>
      <c r="R44" s="63"/>
      <c r="S44" s="63"/>
      <c r="T44" s="63"/>
    </row>
    <row r="45" spans="1:20" ht="30">
      <c r="A45" s="1005"/>
      <c r="B45" s="1003" t="s">
        <v>333</v>
      </c>
      <c r="C45" s="428" t="s">
        <v>309</v>
      </c>
      <c r="D45" s="611" t="s">
        <v>267</v>
      </c>
      <c r="E45" s="525">
        <v>0</v>
      </c>
      <c r="F45" s="428" t="s">
        <v>255</v>
      </c>
      <c r="G45" s="989" t="s">
        <v>512</v>
      </c>
      <c r="H45" s="962"/>
      <c r="I45" s="105"/>
      <c r="J45" s="105"/>
      <c r="K45" s="105"/>
      <c r="L45" s="105"/>
      <c r="M45" s="105"/>
      <c r="N45" s="105"/>
      <c r="O45" s="105"/>
      <c r="P45" s="63"/>
      <c r="Q45" s="63"/>
      <c r="R45" s="63"/>
      <c r="S45" s="63"/>
      <c r="T45" s="63"/>
    </row>
    <row r="46" spans="1:20" ht="30">
      <c r="A46" s="1005"/>
      <c r="B46" s="1003"/>
      <c r="C46" s="428" t="s">
        <v>310</v>
      </c>
      <c r="D46" s="611" t="s">
        <v>267</v>
      </c>
      <c r="E46" s="525">
        <v>0</v>
      </c>
      <c r="F46" s="428" t="s">
        <v>255</v>
      </c>
      <c r="G46" s="1017"/>
      <c r="H46" s="963"/>
      <c r="I46" s="105"/>
      <c r="J46" s="105"/>
      <c r="K46" s="105"/>
      <c r="L46" s="105"/>
      <c r="M46" s="105"/>
      <c r="N46" s="105"/>
      <c r="O46" s="105"/>
      <c r="P46" s="63"/>
      <c r="Q46" s="63"/>
      <c r="R46" s="63"/>
      <c r="S46" s="63"/>
      <c r="T46" s="63"/>
    </row>
    <row r="47" spans="1:20" ht="30">
      <c r="A47" s="1005"/>
      <c r="B47" s="1003"/>
      <c r="C47" s="611" t="s">
        <v>311</v>
      </c>
      <c r="D47" s="611" t="s">
        <v>267</v>
      </c>
      <c r="E47" s="525">
        <v>0</v>
      </c>
      <c r="F47" s="428" t="s">
        <v>255</v>
      </c>
      <c r="G47" s="990"/>
      <c r="H47" s="964"/>
      <c r="I47" s="105"/>
      <c r="J47" s="105"/>
      <c r="K47" s="105"/>
      <c r="L47" s="105"/>
      <c r="M47" s="105"/>
      <c r="N47" s="105"/>
      <c r="O47" s="105"/>
      <c r="P47" s="63"/>
      <c r="Q47" s="63"/>
      <c r="R47" s="63"/>
      <c r="S47" s="63"/>
      <c r="T47" s="63"/>
    </row>
    <row r="48" spans="1:20" ht="45">
      <c r="A48" s="1005"/>
      <c r="B48" s="1003"/>
      <c r="C48" s="611" t="s">
        <v>313</v>
      </c>
      <c r="D48" s="611" t="s">
        <v>267</v>
      </c>
      <c r="E48" s="530">
        <v>0</v>
      </c>
      <c r="F48" s="607" t="s">
        <v>312</v>
      </c>
      <c r="G48" s="612" t="s">
        <v>314</v>
      </c>
      <c r="H48" s="630"/>
      <c r="I48" s="105"/>
      <c r="J48" s="105"/>
      <c r="K48" s="105"/>
      <c r="L48" s="105"/>
      <c r="M48" s="105"/>
      <c r="N48" s="105"/>
      <c r="O48" s="105"/>
      <c r="P48" s="63"/>
      <c r="Q48" s="63"/>
      <c r="R48" s="63"/>
      <c r="S48" s="63"/>
      <c r="T48" s="63"/>
    </row>
    <row r="49" spans="1:20" ht="99.75" customHeight="1">
      <c r="A49" s="1005"/>
      <c r="B49" s="1003"/>
      <c r="C49" s="611" t="s">
        <v>315</v>
      </c>
      <c r="D49" s="611" t="s">
        <v>267</v>
      </c>
      <c r="E49" s="525">
        <v>0</v>
      </c>
      <c r="F49" s="611" t="s">
        <v>255</v>
      </c>
      <c r="G49" s="612" t="s">
        <v>558</v>
      </c>
      <c r="H49" s="630"/>
      <c r="I49" s="105"/>
      <c r="J49" s="105"/>
      <c r="K49" s="105"/>
      <c r="L49" s="105"/>
      <c r="M49" s="105"/>
      <c r="N49" s="105"/>
      <c r="O49" s="105"/>
      <c r="P49" s="63"/>
      <c r="Q49" s="63"/>
      <c r="R49" s="63"/>
      <c r="S49" s="63"/>
      <c r="T49" s="63"/>
    </row>
    <row r="50" spans="1:20" ht="58.5" customHeight="1">
      <c r="A50" s="1005"/>
      <c r="B50" s="1003"/>
      <c r="C50" s="611" t="s">
        <v>316</v>
      </c>
      <c r="D50" s="611" t="s">
        <v>267</v>
      </c>
      <c r="E50" s="530">
        <v>30000</v>
      </c>
      <c r="F50" s="611" t="s">
        <v>163</v>
      </c>
      <c r="G50" s="1018" t="s">
        <v>344</v>
      </c>
      <c r="H50" s="965"/>
      <c r="I50" s="105"/>
      <c r="J50" s="105"/>
      <c r="K50" s="105"/>
      <c r="L50" s="105"/>
      <c r="M50" s="105"/>
      <c r="N50" s="105"/>
      <c r="O50" s="105"/>
      <c r="P50" s="63"/>
      <c r="Q50" s="63"/>
      <c r="R50" s="63"/>
      <c r="S50" s="63"/>
      <c r="T50" s="63"/>
    </row>
    <row r="51" spans="1:20" ht="57.75" customHeight="1">
      <c r="A51" s="1005"/>
      <c r="B51" s="1003"/>
      <c r="C51" s="611" t="s">
        <v>317</v>
      </c>
      <c r="D51" s="611" t="s">
        <v>267</v>
      </c>
      <c r="E51" s="530">
        <v>20000</v>
      </c>
      <c r="F51" s="611" t="s">
        <v>163</v>
      </c>
      <c r="G51" s="1019"/>
      <c r="H51" s="966"/>
      <c r="I51" s="105"/>
      <c r="J51" s="105"/>
      <c r="K51" s="105"/>
      <c r="L51" s="105"/>
      <c r="M51" s="105"/>
      <c r="N51" s="105"/>
      <c r="O51" s="105"/>
      <c r="P51" s="63"/>
      <c r="Q51" s="63"/>
      <c r="R51" s="63"/>
      <c r="S51" s="63"/>
      <c r="T51" s="63"/>
    </row>
    <row r="52" spans="1:20" ht="60">
      <c r="A52" s="1005"/>
      <c r="B52" s="1003"/>
      <c r="C52" s="611" t="s">
        <v>318</v>
      </c>
      <c r="D52" s="611" t="s">
        <v>267</v>
      </c>
      <c r="E52" s="525">
        <f>((1.2*(E45+E46+E47)*E48)+(E49*E48))/(E50+E51)</f>
        <v>0</v>
      </c>
      <c r="F52" s="611" t="s">
        <v>319</v>
      </c>
      <c r="G52" s="612" t="s">
        <v>320</v>
      </c>
      <c r="H52" s="630"/>
      <c r="I52" s="105"/>
      <c r="J52" s="105"/>
      <c r="K52" s="105"/>
      <c r="L52" s="105"/>
      <c r="M52" s="105"/>
      <c r="N52" s="105"/>
      <c r="O52" s="105"/>
      <c r="P52" s="63"/>
      <c r="Q52" s="63"/>
      <c r="R52" s="63"/>
      <c r="S52" s="63"/>
      <c r="T52" s="63"/>
    </row>
    <row r="53" spans="1:20" ht="45">
      <c r="A53" s="1005"/>
      <c r="B53" s="1003"/>
      <c r="C53" s="611" t="s">
        <v>321</v>
      </c>
      <c r="D53" s="611" t="s">
        <v>267</v>
      </c>
      <c r="E53" s="643">
        <f>SUM(E40,E41)</f>
        <v>2719.1299999999997</v>
      </c>
      <c r="F53" s="611" t="s">
        <v>322</v>
      </c>
      <c r="G53" s="613" t="s">
        <v>554</v>
      </c>
      <c r="H53" s="631"/>
      <c r="I53" s="105"/>
      <c r="J53" s="105"/>
      <c r="K53" s="105"/>
      <c r="L53" s="105"/>
      <c r="M53" s="105"/>
      <c r="N53" s="105"/>
      <c r="O53" s="105"/>
      <c r="P53" s="63"/>
      <c r="Q53" s="63"/>
      <c r="R53" s="63"/>
      <c r="S53" s="63"/>
      <c r="T53" s="63"/>
    </row>
    <row r="54" spans="1:20" ht="30">
      <c r="A54" s="1005"/>
      <c r="B54" s="976"/>
      <c r="C54" s="611" t="s">
        <v>323</v>
      </c>
      <c r="D54" s="611" t="s">
        <v>267</v>
      </c>
      <c r="E54" s="525">
        <f>TRUNC(E53*E52,2)</f>
        <v>0</v>
      </c>
      <c r="F54" s="611" t="s">
        <v>264</v>
      </c>
      <c r="G54" s="613" t="s">
        <v>324</v>
      </c>
      <c r="H54" s="631"/>
      <c r="I54" s="105"/>
      <c r="J54" s="105"/>
      <c r="K54" s="105"/>
      <c r="L54" s="105"/>
      <c r="M54" s="105"/>
      <c r="N54" s="105"/>
      <c r="O54" s="105"/>
      <c r="P54" s="63"/>
      <c r="Q54" s="63"/>
      <c r="R54" s="63"/>
      <c r="S54" s="63"/>
      <c r="T54" s="63"/>
    </row>
    <row r="55" spans="1:20" ht="105">
      <c r="A55" s="1005"/>
      <c r="B55" s="1003" t="s">
        <v>339</v>
      </c>
      <c r="C55" s="611" t="s">
        <v>325</v>
      </c>
      <c r="D55" s="611" t="s">
        <v>267</v>
      </c>
      <c r="E55" s="534">
        <f>(E5+E6)-(E45*E48)</f>
        <v>0</v>
      </c>
      <c r="F55" s="611" t="s">
        <v>255</v>
      </c>
      <c r="G55" s="612" t="s">
        <v>343</v>
      </c>
      <c r="H55" s="630"/>
      <c r="I55" s="105"/>
      <c r="J55" s="105"/>
      <c r="K55" s="105"/>
      <c r="L55" s="105"/>
      <c r="M55" s="105"/>
      <c r="N55" s="105"/>
      <c r="O55" s="105"/>
      <c r="P55" s="63"/>
      <c r="Q55" s="63"/>
      <c r="R55" s="63"/>
      <c r="S55" s="63"/>
      <c r="T55" s="63"/>
    </row>
    <row r="56" spans="1:20" ht="75" customHeight="1">
      <c r="A56" s="1005"/>
      <c r="B56" s="1003"/>
      <c r="C56" s="611" t="s">
        <v>326</v>
      </c>
      <c r="D56" s="611" t="s">
        <v>267</v>
      </c>
      <c r="E56" s="523">
        <v>0</v>
      </c>
      <c r="F56" s="611" t="s">
        <v>16</v>
      </c>
      <c r="G56" s="612" t="s">
        <v>342</v>
      </c>
      <c r="H56" s="630"/>
      <c r="I56" s="105"/>
      <c r="J56" s="105"/>
      <c r="K56" s="105"/>
      <c r="L56" s="105"/>
      <c r="M56" s="105"/>
      <c r="N56" s="105"/>
      <c r="O56" s="105"/>
      <c r="P56" s="63"/>
      <c r="Q56" s="63"/>
      <c r="R56" s="63"/>
      <c r="S56" s="63"/>
      <c r="T56" s="63"/>
    </row>
    <row r="57" spans="1:20" ht="208.5" customHeight="1" thickBot="1">
      <c r="A57" s="1005"/>
      <c r="B57" s="1003"/>
      <c r="C57" s="615" t="s">
        <v>327</v>
      </c>
      <c r="D57" s="615" t="s">
        <v>267</v>
      </c>
      <c r="E57" s="529" t="e">
        <f>TRUNC((E55*E56)/E9,2)</f>
        <v>#DIV/0!</v>
      </c>
      <c r="F57" s="423" t="s">
        <v>264</v>
      </c>
      <c r="G57" s="616" t="s">
        <v>341</v>
      </c>
      <c r="H57" s="633"/>
      <c r="I57" s="105"/>
      <c r="J57" s="105"/>
      <c r="K57" s="105"/>
      <c r="L57" s="105"/>
      <c r="M57" s="105"/>
      <c r="N57" s="105"/>
      <c r="O57" s="105"/>
      <c r="P57" s="63"/>
      <c r="Q57" s="63"/>
      <c r="R57" s="63"/>
      <c r="S57" s="63"/>
      <c r="T57" s="63"/>
    </row>
    <row r="58" spans="1:20" ht="16.5" thickBot="1">
      <c r="A58" s="1011"/>
      <c r="B58" s="1012" t="s">
        <v>329</v>
      </c>
      <c r="C58" s="1013"/>
      <c r="D58" s="1014"/>
      <c r="E58" s="531" t="e">
        <f>(E42+E43)+E44+E54+E57</f>
        <v>#DIV/0!</v>
      </c>
      <c r="F58" s="623" t="s">
        <v>264</v>
      </c>
      <c r="G58" s="624" t="s">
        <v>330</v>
      </c>
      <c r="H58" s="637"/>
      <c r="I58" s="105"/>
      <c r="J58" s="105"/>
      <c r="K58" s="105"/>
      <c r="L58" s="105"/>
      <c r="M58" s="105"/>
      <c r="N58" s="105"/>
      <c r="O58" s="105"/>
      <c r="P58" s="63"/>
      <c r="Q58" s="63"/>
      <c r="R58" s="63"/>
      <c r="S58" s="63"/>
      <c r="T58" s="63"/>
    </row>
    <row r="59" spans="1:20" ht="37.5">
      <c r="A59" s="1023" t="s">
        <v>370</v>
      </c>
      <c r="B59" s="1024"/>
      <c r="C59" s="1024"/>
      <c r="D59" s="1024"/>
      <c r="E59" s="532" t="e">
        <f>(E34+E58)*(1+10%)</f>
        <v>#DIV/0!</v>
      </c>
      <c r="F59" s="625" t="s">
        <v>264</v>
      </c>
      <c r="G59" s="626" t="s">
        <v>377</v>
      </c>
      <c r="H59" s="638"/>
      <c r="I59" s="105"/>
      <c r="J59" s="105"/>
      <c r="K59" s="105"/>
      <c r="L59" s="105"/>
      <c r="M59" s="105"/>
      <c r="N59" s="105"/>
      <c r="O59" s="105"/>
      <c r="P59" s="63"/>
      <c r="Q59" s="63"/>
      <c r="R59" s="63"/>
      <c r="S59" s="63"/>
      <c r="T59" s="63"/>
    </row>
    <row r="60" spans="1:20" ht="19.5" thickBot="1">
      <c r="A60" s="1025"/>
      <c r="B60" s="1026"/>
      <c r="C60" s="1026"/>
      <c r="D60" s="1026"/>
      <c r="E60" s="533" t="e">
        <f>(E35+E59)/E53</f>
        <v>#DIV/0!</v>
      </c>
      <c r="F60" s="627" t="s">
        <v>264</v>
      </c>
      <c r="G60" s="628" t="s">
        <v>352</v>
      </c>
      <c r="H60" s="639"/>
      <c r="I60" s="105"/>
      <c r="J60" s="105"/>
      <c r="K60" s="105"/>
      <c r="L60" s="105"/>
      <c r="M60" s="105"/>
      <c r="N60" s="105"/>
      <c r="O60" s="105"/>
      <c r="P60" s="63"/>
      <c r="Q60" s="63"/>
      <c r="R60" s="63"/>
      <c r="S60" s="63"/>
      <c r="T60" s="63"/>
    </row>
    <row r="61" spans="1:20" ht="15">
      <c r="A61" s="361"/>
      <c r="B61" s="361"/>
      <c r="C61" s="361"/>
      <c r="D61" s="361"/>
      <c r="E61" s="361"/>
      <c r="F61" s="361"/>
      <c r="G61" s="361"/>
      <c r="H61" s="361"/>
      <c r="I61" s="94"/>
      <c r="J61" s="94"/>
      <c r="K61" s="94"/>
      <c r="L61" s="94"/>
      <c r="M61" s="94"/>
      <c r="N61" s="94"/>
      <c r="O61" s="94"/>
    </row>
    <row r="62" spans="1:20" ht="15">
      <c r="A62" s="94"/>
      <c r="B62" s="94"/>
      <c r="C62" s="94"/>
      <c r="D62" s="94"/>
      <c r="E62" s="94"/>
      <c r="F62" s="94"/>
      <c r="G62" s="94"/>
      <c r="H62" s="94"/>
      <c r="I62" s="94"/>
      <c r="J62" s="94"/>
      <c r="K62" s="94"/>
      <c r="L62" s="94"/>
      <c r="M62" s="94"/>
      <c r="N62" s="94"/>
      <c r="O62" s="94"/>
    </row>
    <row r="63" spans="1:20" ht="15">
      <c r="A63" s="94"/>
      <c r="B63" s="94"/>
      <c r="C63" s="94"/>
      <c r="D63" s="94"/>
      <c r="E63" s="94"/>
      <c r="F63" s="94"/>
      <c r="G63" s="94"/>
      <c r="H63" s="94"/>
      <c r="I63" s="94"/>
      <c r="J63" s="94"/>
      <c r="K63" s="94"/>
      <c r="L63" s="94"/>
      <c r="M63" s="94"/>
      <c r="N63" s="94"/>
      <c r="O63" s="94"/>
    </row>
    <row r="64" spans="1:20" ht="15">
      <c r="A64" s="94"/>
      <c r="B64" s="94"/>
      <c r="C64" s="94"/>
      <c r="D64" s="94"/>
      <c r="E64" s="94"/>
      <c r="F64" s="94"/>
      <c r="G64" s="94"/>
      <c r="H64" s="94"/>
      <c r="I64" s="94"/>
      <c r="J64" s="94"/>
      <c r="K64" s="94"/>
      <c r="L64" s="94"/>
      <c r="M64" s="94"/>
      <c r="N64" s="94"/>
      <c r="O64" s="94"/>
    </row>
    <row r="65" spans="1:15" ht="15">
      <c r="A65" s="94"/>
      <c r="B65" s="94"/>
      <c r="C65" s="94"/>
      <c r="D65" s="94"/>
      <c r="E65" s="94"/>
      <c r="F65" s="94"/>
      <c r="G65" s="94"/>
      <c r="H65" s="94"/>
      <c r="I65" s="94"/>
      <c r="J65" s="94"/>
      <c r="K65" s="94"/>
      <c r="L65" s="94"/>
      <c r="M65" s="94"/>
      <c r="N65" s="94"/>
      <c r="O65" s="94"/>
    </row>
    <row r="66" spans="1:15" ht="15">
      <c r="A66" s="94"/>
      <c r="B66" s="94"/>
      <c r="C66" s="94"/>
      <c r="D66" s="94"/>
      <c r="E66" s="94"/>
      <c r="F66" s="94"/>
      <c r="G66" s="94"/>
      <c r="H66" s="94"/>
      <c r="I66" s="94"/>
      <c r="J66" s="94"/>
      <c r="K66" s="94"/>
      <c r="L66" s="94"/>
      <c r="M66" s="94"/>
      <c r="N66" s="94"/>
      <c r="O66" s="94"/>
    </row>
    <row r="67" spans="1:15" ht="15">
      <c r="A67" s="94"/>
      <c r="B67" s="94"/>
      <c r="C67" s="94"/>
      <c r="D67" s="94"/>
      <c r="E67" s="94"/>
      <c r="F67" s="94"/>
      <c r="G67" s="94"/>
      <c r="H67" s="94"/>
      <c r="I67" s="94"/>
      <c r="J67" s="94"/>
      <c r="K67" s="94"/>
      <c r="L67" s="94"/>
      <c r="M67" s="94"/>
      <c r="N67" s="94"/>
      <c r="O67" s="94"/>
    </row>
    <row r="68" spans="1:15" ht="15">
      <c r="A68" s="94"/>
      <c r="B68" s="94"/>
      <c r="C68" s="94"/>
      <c r="D68" s="94"/>
      <c r="E68" s="94"/>
      <c r="F68" s="94"/>
      <c r="G68" s="94"/>
      <c r="H68" s="94"/>
      <c r="I68" s="94"/>
      <c r="J68" s="94"/>
      <c r="K68" s="94"/>
      <c r="L68" s="94"/>
      <c r="M68" s="94"/>
      <c r="N68" s="94"/>
      <c r="O68" s="94"/>
    </row>
    <row r="69" spans="1:15" ht="15">
      <c r="A69" s="94"/>
      <c r="B69" s="94"/>
      <c r="C69" s="94"/>
      <c r="D69" s="94"/>
      <c r="E69" s="94"/>
      <c r="F69" s="94"/>
      <c r="G69" s="94"/>
      <c r="H69" s="94"/>
      <c r="I69" s="94"/>
      <c r="J69" s="94"/>
      <c r="K69" s="94"/>
      <c r="L69" s="94"/>
      <c r="M69" s="94"/>
      <c r="N69" s="94"/>
      <c r="O69" s="94"/>
    </row>
    <row r="70" spans="1:15" ht="15">
      <c r="A70" s="94"/>
      <c r="B70" s="94"/>
      <c r="C70" s="94"/>
      <c r="D70" s="94"/>
      <c r="E70" s="94"/>
      <c r="F70" s="94"/>
      <c r="G70" s="94"/>
      <c r="H70" s="94"/>
      <c r="I70" s="94"/>
      <c r="J70" s="94"/>
      <c r="K70" s="94"/>
      <c r="L70" s="94"/>
      <c r="M70" s="94"/>
      <c r="N70" s="94"/>
      <c r="O70" s="94"/>
    </row>
    <row r="71" spans="1:15" ht="15">
      <c r="A71" s="94"/>
      <c r="B71" s="94"/>
      <c r="C71" s="94"/>
      <c r="D71" s="94"/>
      <c r="E71" s="94"/>
      <c r="F71" s="94"/>
      <c r="G71" s="94"/>
      <c r="H71" s="94"/>
      <c r="I71" s="94"/>
      <c r="J71" s="94"/>
      <c r="K71" s="94"/>
      <c r="L71" s="94"/>
      <c r="M71" s="94"/>
      <c r="N71" s="94"/>
      <c r="O71" s="94"/>
    </row>
    <row r="72" spans="1:15" ht="15">
      <c r="A72" s="94"/>
      <c r="B72" s="94"/>
      <c r="C72" s="94"/>
      <c r="D72" s="94"/>
      <c r="E72" s="94"/>
      <c r="F72" s="94"/>
      <c r="G72" s="94"/>
      <c r="H72" s="94"/>
      <c r="I72" s="94"/>
      <c r="J72" s="94"/>
      <c r="K72" s="94"/>
      <c r="L72" s="94"/>
      <c r="M72" s="94"/>
      <c r="N72" s="94"/>
      <c r="O72" s="94"/>
    </row>
    <row r="73" spans="1:15" ht="15">
      <c r="A73" s="94"/>
      <c r="B73" s="94"/>
      <c r="C73" s="94"/>
      <c r="D73" s="94"/>
      <c r="E73" s="94"/>
      <c r="F73" s="94"/>
      <c r="G73" s="94"/>
      <c r="H73" s="94"/>
      <c r="I73" s="94"/>
      <c r="J73" s="94"/>
      <c r="K73" s="94"/>
      <c r="L73" s="94"/>
      <c r="M73" s="94"/>
      <c r="N73" s="94"/>
      <c r="O73" s="94"/>
    </row>
    <row r="74" spans="1:15" ht="15">
      <c r="A74" s="94"/>
      <c r="B74" s="94"/>
      <c r="C74" s="94"/>
      <c r="D74" s="94"/>
      <c r="E74" s="94"/>
      <c r="F74" s="94"/>
      <c r="G74" s="94"/>
      <c r="H74" s="94"/>
      <c r="I74" s="94"/>
      <c r="J74" s="94"/>
      <c r="K74" s="94"/>
      <c r="L74" s="94"/>
      <c r="M74" s="94"/>
      <c r="N74" s="94"/>
      <c r="O74" s="94"/>
    </row>
    <row r="75" spans="1:15" ht="15">
      <c r="A75" s="94"/>
      <c r="B75" s="94"/>
      <c r="C75" s="94"/>
      <c r="D75" s="94"/>
      <c r="E75" s="94"/>
      <c r="F75" s="94"/>
      <c r="G75" s="94"/>
      <c r="H75" s="94"/>
      <c r="I75" s="94"/>
      <c r="J75" s="94"/>
      <c r="K75" s="94"/>
      <c r="L75" s="94"/>
      <c r="M75" s="94"/>
      <c r="N75" s="94"/>
      <c r="O75" s="94"/>
    </row>
    <row r="76" spans="1:15" ht="15">
      <c r="A76" s="94"/>
      <c r="B76" s="94"/>
      <c r="C76" s="94"/>
      <c r="D76" s="94"/>
      <c r="E76" s="94"/>
      <c r="F76" s="94"/>
      <c r="G76" s="94"/>
      <c r="H76" s="94"/>
      <c r="I76" s="94"/>
      <c r="J76" s="94"/>
      <c r="K76" s="94"/>
      <c r="L76" s="94"/>
      <c r="M76" s="94"/>
      <c r="N76" s="94"/>
      <c r="O76" s="94"/>
    </row>
    <row r="77" spans="1:15" ht="15">
      <c r="A77" s="94"/>
      <c r="B77" s="94"/>
      <c r="C77" s="94"/>
      <c r="D77" s="94"/>
      <c r="E77" s="94"/>
      <c r="F77" s="94"/>
      <c r="G77" s="94"/>
      <c r="H77" s="94"/>
      <c r="I77" s="94"/>
      <c r="J77" s="94"/>
      <c r="K77" s="94"/>
      <c r="L77" s="94"/>
      <c r="M77" s="94"/>
      <c r="N77" s="94"/>
      <c r="O77" s="94"/>
    </row>
    <row r="78" spans="1:15" ht="15">
      <c r="A78" s="94"/>
      <c r="B78" s="94"/>
      <c r="C78" s="94"/>
      <c r="D78" s="94"/>
      <c r="E78" s="94"/>
      <c r="F78" s="94"/>
      <c r="G78" s="94"/>
      <c r="H78" s="94"/>
      <c r="I78" s="94"/>
      <c r="J78" s="94"/>
      <c r="K78" s="94"/>
      <c r="L78" s="94"/>
      <c r="M78" s="94"/>
      <c r="N78" s="94"/>
      <c r="O78" s="94"/>
    </row>
    <row r="79" spans="1:15" ht="15">
      <c r="A79" s="94"/>
      <c r="B79" s="94"/>
      <c r="C79" s="94"/>
      <c r="D79" s="94"/>
      <c r="E79" s="94"/>
      <c r="F79" s="94"/>
      <c r="G79" s="94"/>
      <c r="H79" s="94"/>
      <c r="I79" s="94"/>
      <c r="J79" s="94"/>
      <c r="K79" s="94"/>
      <c r="L79" s="94"/>
      <c r="M79" s="94"/>
      <c r="N79" s="94"/>
      <c r="O79" s="94"/>
    </row>
  </sheetData>
  <sheetProtection algorithmName="SHA-512" hashValue="0bksD0rHiERXQ91Lu7yhD2TyKUvP8X5l1NcAuiE9jmrIo2wF5ZJyeTM+wV5Wi3jeEzAjOGknJrBsPWN9v8wivQ==" saltValue="isKsOZliCZwqHY1ZuLT+lw==" spinCount="100000" sheet="1" objects="1" scenarios="1"/>
  <mergeCells count="58">
    <mergeCell ref="C40:C41"/>
    <mergeCell ref="C42:C43"/>
    <mergeCell ref="G42:G43"/>
    <mergeCell ref="B34:D34"/>
    <mergeCell ref="B24:B33"/>
    <mergeCell ref="C27:C28"/>
    <mergeCell ref="D27:D28"/>
    <mergeCell ref="G27:G28"/>
    <mergeCell ref="C29:C30"/>
    <mergeCell ref="D29:D30"/>
    <mergeCell ref="G29:G30"/>
    <mergeCell ref="C31:C32"/>
    <mergeCell ref="D31:D32"/>
    <mergeCell ref="G31:G32"/>
    <mergeCell ref="C33:D33"/>
    <mergeCell ref="C7:C8"/>
    <mergeCell ref="C9:C10"/>
    <mergeCell ref="B13:B23"/>
    <mergeCell ref="C13:C14"/>
    <mergeCell ref="G13:G18"/>
    <mergeCell ref="C15:C16"/>
    <mergeCell ref="C17:C18"/>
    <mergeCell ref="C19:C20"/>
    <mergeCell ref="G19:G20"/>
    <mergeCell ref="C22:C23"/>
    <mergeCell ref="G22:G23"/>
    <mergeCell ref="G9:G10"/>
    <mergeCell ref="C11:C12"/>
    <mergeCell ref="G11:G12"/>
    <mergeCell ref="A59:D60"/>
    <mergeCell ref="B45:B54"/>
    <mergeCell ref="G45:G47"/>
    <mergeCell ref="G50:G51"/>
    <mergeCell ref="B55:B57"/>
    <mergeCell ref="B58:D58"/>
    <mergeCell ref="A35:A58"/>
    <mergeCell ref="B35:B43"/>
    <mergeCell ref="C35:C36"/>
    <mergeCell ref="C38:C39"/>
    <mergeCell ref="A5:A34"/>
    <mergeCell ref="B5:B12"/>
    <mergeCell ref="C5:C6"/>
    <mergeCell ref="H42:H43"/>
    <mergeCell ref="H45:H47"/>
    <mergeCell ref="H50:H51"/>
    <mergeCell ref="A1:H3"/>
    <mergeCell ref="H27:H28"/>
    <mergeCell ref="H29:H30"/>
    <mergeCell ref="H31:H32"/>
    <mergeCell ref="H35:H36"/>
    <mergeCell ref="H38:H39"/>
    <mergeCell ref="H9:H10"/>
    <mergeCell ref="H11:H12"/>
    <mergeCell ref="H13:H18"/>
    <mergeCell ref="H19:H20"/>
    <mergeCell ref="H22:H23"/>
    <mergeCell ref="G35:G36"/>
    <mergeCell ref="G38:G39"/>
  </mergeCells>
  <phoneticPr fontId="17" type="noConversion"/>
  <pageMargins left="0.511811024" right="0.511811024" top="0.78740157499999996" bottom="0.78740157499999996" header="0.31496062000000002" footer="0.31496062000000002"/>
  <pageSetup paperSize="9" scale="44" orientation="portrait" r:id="rId1"/>
  <drawing r:id="rId2"/>
  <legacyDrawing r:id="rId3"/>
  <oleObjects>
    <mc:AlternateContent xmlns:mc="http://schemas.openxmlformats.org/markup-compatibility/2006">
      <mc:Choice Requires="x14">
        <oleObject progId="CorelDraw.Graphic.18" shapeId="22529" r:id="rId4">
          <objectPr defaultSize="0" autoPict="0" r:id="rId5">
            <anchor moveWithCells="1">
              <from>
                <xdr:col>2</xdr:col>
                <xdr:colOff>628650</xdr:colOff>
                <xdr:row>0</xdr:row>
                <xdr:rowOff>57150</xdr:rowOff>
              </from>
              <to>
                <xdr:col>2</xdr:col>
                <xdr:colOff>1543050</xdr:colOff>
                <xdr:row>2</xdr:row>
                <xdr:rowOff>152400</xdr:rowOff>
              </to>
            </anchor>
          </objectPr>
        </oleObject>
      </mc:Choice>
      <mc:Fallback>
        <oleObject progId="CorelDraw.Graphic.18" shapeId="2252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02B59-4261-4862-96E9-799A0A4E670A}">
  <sheetPr>
    <tabColor theme="0" tint="-0.14999847407452621"/>
  </sheetPr>
  <dimension ref="A1:R49"/>
  <sheetViews>
    <sheetView view="pageBreakPreview" zoomScale="85" zoomScaleNormal="100" zoomScaleSheetLayoutView="85" workbookViewId="0">
      <selection activeCell="I10" sqref="I10"/>
    </sheetView>
  </sheetViews>
  <sheetFormatPr defaultRowHeight="14.25"/>
  <cols>
    <col min="1" max="1" width="8.25" bestFit="1" customWidth="1"/>
    <col min="2" max="2" width="20.875" customWidth="1"/>
    <col min="3" max="3" width="11.625" style="47" bestFit="1" customWidth="1"/>
    <col min="7" max="7" width="20.75" bestFit="1" customWidth="1"/>
    <col min="8" max="8" width="20.125" bestFit="1" customWidth="1"/>
    <col min="10" max="10" width="9" style="47"/>
    <col min="11" max="11" width="10.375" bestFit="1" customWidth="1"/>
    <col min="12" max="12" width="7" bestFit="1" customWidth="1"/>
    <col min="13" max="13" width="7.875" customWidth="1"/>
    <col min="14" max="14" width="10.5" bestFit="1" customWidth="1"/>
  </cols>
  <sheetData>
    <row r="1" spans="1:18" ht="66.75" customHeight="1" thickBot="1">
      <c r="A1" s="1030" t="s">
        <v>564</v>
      </c>
      <c r="B1" s="1031"/>
      <c r="C1" s="1031"/>
      <c r="D1" s="1031"/>
      <c r="E1" s="1031"/>
      <c r="F1" s="1031"/>
      <c r="G1" s="1031"/>
      <c r="H1" s="1031"/>
      <c r="I1" s="1031"/>
      <c r="J1" s="1031"/>
      <c r="K1" s="1031"/>
      <c r="L1" s="1031"/>
      <c r="M1" s="1031"/>
      <c r="N1" s="1032"/>
      <c r="O1" s="94"/>
      <c r="P1" s="94"/>
      <c r="Q1" s="94"/>
      <c r="R1" s="94"/>
    </row>
    <row r="2" spans="1:18" ht="94.5" customHeight="1" thickBot="1">
      <c r="A2" s="200"/>
      <c r="B2" s="201" t="s">
        <v>97</v>
      </c>
      <c r="C2" s="201" t="s">
        <v>194</v>
      </c>
      <c r="D2" s="201" t="s">
        <v>192</v>
      </c>
      <c r="E2" s="201" t="s">
        <v>15</v>
      </c>
      <c r="F2" s="201" t="s">
        <v>193</v>
      </c>
      <c r="G2" s="201" t="s">
        <v>202</v>
      </c>
      <c r="H2" s="201" t="s">
        <v>203</v>
      </c>
      <c r="I2" s="201" t="s">
        <v>197</v>
      </c>
      <c r="J2" s="201" t="s">
        <v>201</v>
      </c>
      <c r="K2" s="201" t="s">
        <v>213</v>
      </c>
      <c r="L2" s="201" t="s">
        <v>206</v>
      </c>
      <c r="M2" s="202" t="s">
        <v>212</v>
      </c>
      <c r="N2" s="203" t="s">
        <v>207</v>
      </c>
      <c r="O2" s="94"/>
      <c r="P2" s="94"/>
      <c r="Q2" s="94"/>
      <c r="R2" s="94"/>
    </row>
    <row r="3" spans="1:18" ht="15">
      <c r="A3" s="1037" t="s">
        <v>189</v>
      </c>
      <c r="B3" s="265" t="s">
        <v>449</v>
      </c>
      <c r="C3" s="265" t="s">
        <v>195</v>
      </c>
      <c r="D3" s="265">
        <v>1</v>
      </c>
      <c r="E3" s="265">
        <v>1</v>
      </c>
      <c r="F3" s="266">
        <f>'COLETA URBANA'!E6</f>
        <v>1.61</v>
      </c>
      <c r="G3" s="267">
        <v>8.3333333333333329E-2</v>
      </c>
      <c r="H3" s="267">
        <f t="shared" ref="H3:H27" si="0">G3+I3</f>
        <v>0.2013888888888889</v>
      </c>
      <c r="I3" s="267">
        <v>0.11805555555555557</v>
      </c>
      <c r="J3" s="266">
        <f>'COLETA URBANA'!F6</f>
        <v>17.809999999999999</v>
      </c>
      <c r="K3" s="265">
        <f>('COLETA URBANA'!I$6+'COLETA URBANA'!H$6)*2</f>
        <v>7.4</v>
      </c>
      <c r="L3" s="265">
        <f t="shared" ref="L3:L27" si="1">J3/7</f>
        <v>2.544285714285714</v>
      </c>
      <c r="M3" s="265">
        <f>K3/25</f>
        <v>0.29600000000000004</v>
      </c>
      <c r="N3" s="268">
        <f>L3+M3</f>
        <v>2.8402857142857139</v>
      </c>
      <c r="O3" s="176"/>
      <c r="P3" s="176"/>
      <c r="Q3" s="94"/>
      <c r="R3" s="94"/>
    </row>
    <row r="4" spans="1:18" s="49" customFormat="1" ht="15">
      <c r="A4" s="1037"/>
      <c r="B4" s="265" t="s">
        <v>450</v>
      </c>
      <c r="C4" s="265" t="s">
        <v>195</v>
      </c>
      <c r="D4" s="265">
        <v>2</v>
      </c>
      <c r="E4" s="265">
        <v>2</v>
      </c>
      <c r="F4" s="266">
        <f>'COLETA URBANA'!E7</f>
        <v>1.59</v>
      </c>
      <c r="G4" s="267">
        <v>8.3333333333333329E-2</v>
      </c>
      <c r="H4" s="267">
        <f t="shared" si="0"/>
        <v>0.2013888888888889</v>
      </c>
      <c r="I4" s="267">
        <v>0.11805555555555557</v>
      </c>
      <c r="J4" s="266">
        <f>'COLETA URBANA'!F7</f>
        <v>17.690000000000001</v>
      </c>
      <c r="K4" s="265">
        <f>('COLETA URBANA'!I$6+'COLETA URBANA'!H$6)*2</f>
        <v>7.4</v>
      </c>
      <c r="L4" s="265">
        <f t="shared" si="1"/>
        <v>2.5271428571428571</v>
      </c>
      <c r="M4" s="265">
        <f>K4/25</f>
        <v>0.29600000000000004</v>
      </c>
      <c r="N4" s="268">
        <f>L4+M4</f>
        <v>2.823142857142857</v>
      </c>
      <c r="O4" s="176"/>
      <c r="P4" s="176"/>
      <c r="Q4" s="94"/>
      <c r="R4" s="94"/>
    </row>
    <row r="5" spans="1:18" ht="15">
      <c r="A5" s="1034"/>
      <c r="B5" s="269" t="s">
        <v>452</v>
      </c>
      <c r="C5" s="269" t="s">
        <v>195</v>
      </c>
      <c r="D5" s="269">
        <v>1</v>
      </c>
      <c r="E5" s="269">
        <v>1</v>
      </c>
      <c r="F5" s="269">
        <f>'COLETA URBANA'!E$8</f>
        <v>2.35</v>
      </c>
      <c r="G5" s="270">
        <f>H3</f>
        <v>0.2013888888888889</v>
      </c>
      <c r="H5" s="270">
        <f t="shared" si="0"/>
        <v>0.375</v>
      </c>
      <c r="I5" s="270">
        <v>0.17361111111111113</v>
      </c>
      <c r="J5" s="266">
        <f>'COLETA URBANA'!F8</f>
        <v>26</v>
      </c>
      <c r="K5" s="269">
        <f>('COLETA URBANA'!H$8+'COLETA URBANA'!I$8)*2</f>
        <v>12</v>
      </c>
      <c r="L5" s="265">
        <f t="shared" si="1"/>
        <v>3.7142857142857144</v>
      </c>
      <c r="M5" s="265">
        <f>K5/25</f>
        <v>0.48</v>
      </c>
      <c r="N5" s="268">
        <f>L5+M5</f>
        <v>4.194285714285714</v>
      </c>
      <c r="O5" s="176"/>
      <c r="P5" s="176"/>
      <c r="Q5" s="94"/>
      <c r="R5" s="94"/>
    </row>
    <row r="6" spans="1:18" s="47" customFormat="1" ht="15">
      <c r="A6" s="1034"/>
      <c r="B6" s="272" t="s">
        <v>451</v>
      </c>
      <c r="C6" s="273" t="s">
        <v>195</v>
      </c>
      <c r="D6" s="269">
        <v>2</v>
      </c>
      <c r="E6" s="269">
        <v>2</v>
      </c>
      <c r="F6" s="266">
        <f>('COLETA URBANA'!E$9/'COLETA URBANA'!F$9)*J6</f>
        <v>2.0699999999999998</v>
      </c>
      <c r="G6" s="270">
        <f>H4</f>
        <v>0.2013888888888889</v>
      </c>
      <c r="H6" s="270">
        <f t="shared" si="0"/>
        <v>0.35416666666666663</v>
      </c>
      <c r="I6" s="270">
        <v>0.15277777777777776</v>
      </c>
      <c r="J6" s="266">
        <f>'COLETA URBANA'!F9</f>
        <v>23</v>
      </c>
      <c r="K6" s="269">
        <f>('COLETA URBANA'!H$9+'COLETA URBANA'!I$9)*2</f>
        <v>9.1999999999999993</v>
      </c>
      <c r="L6" s="274">
        <f t="shared" si="1"/>
        <v>3.2857142857142856</v>
      </c>
      <c r="M6" s="269">
        <f>K6/25</f>
        <v>0.36799999999999999</v>
      </c>
      <c r="N6" s="268">
        <f>L6+M6</f>
        <v>3.6537142857142855</v>
      </c>
      <c r="O6" s="176"/>
      <c r="P6" s="177"/>
      <c r="Q6" s="94"/>
      <c r="R6" s="94"/>
    </row>
    <row r="7" spans="1:18" s="47" customFormat="1" ht="30.75" thickBot="1">
      <c r="A7" s="1035"/>
      <c r="B7" s="257" t="s">
        <v>196</v>
      </c>
      <c r="C7" s="286" t="s">
        <v>188</v>
      </c>
      <c r="D7" s="286">
        <v>3</v>
      </c>
      <c r="E7" s="286">
        <v>3</v>
      </c>
      <c r="F7" s="286">
        <f>0.09+0.23+0.26+0.24</f>
        <v>0.82000000000000006</v>
      </c>
      <c r="G7" s="258">
        <v>0.25</v>
      </c>
      <c r="H7" s="258">
        <f t="shared" si="0"/>
        <v>0.54374999999999996</v>
      </c>
      <c r="I7" s="258">
        <v>0.29375000000000001</v>
      </c>
      <c r="J7" s="259">
        <v>15.65</v>
      </c>
      <c r="K7" s="259">
        <v>192.49</v>
      </c>
      <c r="L7" s="286">
        <f t="shared" si="1"/>
        <v>2.2357142857142858</v>
      </c>
      <c r="M7" s="286">
        <f>K7/40</f>
        <v>4.8122500000000006</v>
      </c>
      <c r="N7" s="260">
        <f>SUM(L7:M7)</f>
        <v>7.0479642857142863</v>
      </c>
      <c r="O7" s="176"/>
      <c r="P7" s="177"/>
      <c r="Q7" s="94"/>
      <c r="R7" s="94"/>
    </row>
    <row r="8" spans="1:18" ht="15">
      <c r="A8" s="1033" t="s">
        <v>139</v>
      </c>
      <c r="B8" s="261" t="s">
        <v>449</v>
      </c>
      <c r="C8" s="261" t="s">
        <v>195</v>
      </c>
      <c r="D8" s="261">
        <v>1</v>
      </c>
      <c r="E8" s="261">
        <v>1</v>
      </c>
      <c r="F8" s="262">
        <v>1.61</v>
      </c>
      <c r="G8" s="263">
        <v>8.3333333333333329E-2</v>
      </c>
      <c r="H8" s="263">
        <v>0.2013888888888889</v>
      </c>
      <c r="I8" s="263">
        <v>0.11805555555555557</v>
      </c>
      <c r="J8" s="262">
        <v>17.809999999999999</v>
      </c>
      <c r="K8" s="261">
        <v>7.2</v>
      </c>
      <c r="L8" s="261">
        <v>2.544285714285714</v>
      </c>
      <c r="M8" s="261">
        <v>0.28800000000000003</v>
      </c>
      <c r="N8" s="264">
        <v>2.8322857142857139</v>
      </c>
      <c r="O8" s="178"/>
      <c r="P8" s="94"/>
      <c r="Q8" s="94"/>
      <c r="R8" s="94"/>
    </row>
    <row r="9" spans="1:18" ht="15">
      <c r="A9" s="1034"/>
      <c r="B9" s="265" t="s">
        <v>450</v>
      </c>
      <c r="C9" s="265" t="s">
        <v>195</v>
      </c>
      <c r="D9" s="265">
        <v>2</v>
      </c>
      <c r="E9" s="265">
        <v>2</v>
      </c>
      <c r="F9" s="266">
        <v>1.59</v>
      </c>
      <c r="G9" s="267">
        <v>8.3333333333333329E-2</v>
      </c>
      <c r="H9" s="267">
        <v>0.2013888888888889</v>
      </c>
      <c r="I9" s="267">
        <v>0.11805555555555557</v>
      </c>
      <c r="J9" s="266">
        <v>17.690000000000001</v>
      </c>
      <c r="K9" s="265">
        <v>7.2</v>
      </c>
      <c r="L9" s="265">
        <v>2.5271428571428571</v>
      </c>
      <c r="M9" s="265">
        <v>0.28800000000000003</v>
      </c>
      <c r="N9" s="268">
        <v>2.8151428571428569</v>
      </c>
      <c r="O9" s="176"/>
      <c r="P9" s="176"/>
      <c r="Q9" s="94"/>
      <c r="R9" s="94"/>
    </row>
    <row r="10" spans="1:18" ht="15">
      <c r="A10" s="1034"/>
      <c r="B10" s="269" t="s">
        <v>452</v>
      </c>
      <c r="C10" s="269" t="s">
        <v>195</v>
      </c>
      <c r="D10" s="269">
        <v>1</v>
      </c>
      <c r="E10" s="269">
        <v>1</v>
      </c>
      <c r="F10" s="269">
        <v>2.35</v>
      </c>
      <c r="G10" s="270">
        <v>0.2013888888888889</v>
      </c>
      <c r="H10" s="270">
        <v>0.375</v>
      </c>
      <c r="I10" s="270">
        <v>0.17361111111111113</v>
      </c>
      <c r="J10" s="271">
        <v>26</v>
      </c>
      <c r="K10" s="269">
        <v>11.2</v>
      </c>
      <c r="L10" s="265">
        <v>3.7142857142857144</v>
      </c>
      <c r="M10" s="265">
        <v>0.44799999999999995</v>
      </c>
      <c r="N10" s="268">
        <v>4.1622857142857139</v>
      </c>
      <c r="O10" s="178"/>
      <c r="P10" s="176"/>
      <c r="Q10" s="94"/>
      <c r="R10" s="94"/>
    </row>
    <row r="11" spans="1:18" s="48" customFormat="1" ht="15">
      <c r="A11" s="1035"/>
      <c r="B11" s="272" t="s">
        <v>451</v>
      </c>
      <c r="C11" s="273" t="s">
        <v>195</v>
      </c>
      <c r="D11" s="269">
        <v>2</v>
      </c>
      <c r="E11" s="269">
        <v>2</v>
      </c>
      <c r="F11" s="266">
        <v>2.0699999999999998</v>
      </c>
      <c r="G11" s="270">
        <v>0.2013888888888889</v>
      </c>
      <c r="H11" s="270">
        <v>0.35416666666666663</v>
      </c>
      <c r="I11" s="270">
        <v>0.15277777777777776</v>
      </c>
      <c r="J11" s="271">
        <v>23</v>
      </c>
      <c r="K11" s="269">
        <v>9.1999999999999993</v>
      </c>
      <c r="L11" s="274">
        <v>3.2857142857142856</v>
      </c>
      <c r="M11" s="269">
        <v>0.36799999999999999</v>
      </c>
      <c r="N11" s="268">
        <v>3.6537142857142855</v>
      </c>
      <c r="O11" s="178"/>
      <c r="P11" s="176"/>
      <c r="Q11" s="94"/>
      <c r="R11" s="94"/>
    </row>
    <row r="12" spans="1:18" s="47" customFormat="1" ht="15.75" thickBot="1">
      <c r="A12" s="1036"/>
      <c r="B12" s="282" t="s">
        <v>198</v>
      </c>
      <c r="C12" s="282" t="s">
        <v>188</v>
      </c>
      <c r="D12" s="282">
        <v>3</v>
      </c>
      <c r="E12" s="282">
        <v>3</v>
      </c>
      <c r="F12" s="283">
        <f>'COLETA RURAL'!H10</f>
        <v>1.204</v>
      </c>
      <c r="G12" s="284">
        <v>0.25</v>
      </c>
      <c r="H12" s="284">
        <f t="shared" si="0"/>
        <v>0.3034722222222222</v>
      </c>
      <c r="I12" s="284">
        <v>5.347222222222222E-2</v>
      </c>
      <c r="J12" s="282">
        <v>1.98</v>
      </c>
      <c r="K12" s="282">
        <f>'COLETA RURAL'!I10</f>
        <v>62.48</v>
      </c>
      <c r="L12" s="282">
        <f t="shared" si="1"/>
        <v>0.28285714285714286</v>
      </c>
      <c r="M12" s="282">
        <f>K12/40</f>
        <v>1.5619999999999998</v>
      </c>
      <c r="N12" s="285">
        <f>SUM(L12:M12)</f>
        <v>1.8448571428571428</v>
      </c>
      <c r="O12" s="178"/>
      <c r="P12" s="176"/>
      <c r="Q12" s="94"/>
      <c r="R12" s="94"/>
    </row>
    <row r="13" spans="1:18" ht="15">
      <c r="A13" s="1033" t="s">
        <v>138</v>
      </c>
      <c r="B13" s="261" t="s">
        <v>449</v>
      </c>
      <c r="C13" s="261" t="s">
        <v>195</v>
      </c>
      <c r="D13" s="261">
        <v>1</v>
      </c>
      <c r="E13" s="261">
        <v>1</v>
      </c>
      <c r="F13" s="262">
        <v>1.61</v>
      </c>
      <c r="G13" s="263">
        <v>8.3333333333333329E-2</v>
      </c>
      <c r="H13" s="263">
        <v>0.2013888888888889</v>
      </c>
      <c r="I13" s="263">
        <v>0.11805555555555557</v>
      </c>
      <c r="J13" s="262">
        <v>17.809999999999999</v>
      </c>
      <c r="K13" s="261">
        <v>7.2</v>
      </c>
      <c r="L13" s="261">
        <v>2.544285714285714</v>
      </c>
      <c r="M13" s="261">
        <v>0.28800000000000003</v>
      </c>
      <c r="N13" s="264">
        <v>2.8322857142857139</v>
      </c>
      <c r="O13" s="178"/>
      <c r="P13" s="176"/>
      <c r="Q13" s="94"/>
      <c r="R13" s="94"/>
    </row>
    <row r="14" spans="1:18" ht="15">
      <c r="A14" s="1034"/>
      <c r="B14" s="265" t="s">
        <v>450</v>
      </c>
      <c r="C14" s="265" t="s">
        <v>195</v>
      </c>
      <c r="D14" s="265">
        <v>2</v>
      </c>
      <c r="E14" s="265">
        <v>2</v>
      </c>
      <c r="F14" s="266">
        <v>1.59</v>
      </c>
      <c r="G14" s="267">
        <v>8.3333333333333329E-2</v>
      </c>
      <c r="H14" s="267">
        <v>0.2013888888888889</v>
      </c>
      <c r="I14" s="267">
        <v>0.11805555555555557</v>
      </c>
      <c r="J14" s="266">
        <v>17.690000000000001</v>
      </c>
      <c r="K14" s="265">
        <v>7.2</v>
      </c>
      <c r="L14" s="265">
        <v>2.5271428571428571</v>
      </c>
      <c r="M14" s="265">
        <v>0.28800000000000003</v>
      </c>
      <c r="N14" s="268">
        <v>2.8151428571428569</v>
      </c>
      <c r="O14" s="178"/>
      <c r="P14" s="178"/>
      <c r="Q14" s="94"/>
      <c r="R14" s="94"/>
    </row>
    <row r="15" spans="1:18" ht="15">
      <c r="A15" s="1034"/>
      <c r="B15" s="269" t="s">
        <v>452</v>
      </c>
      <c r="C15" s="269" t="s">
        <v>195</v>
      </c>
      <c r="D15" s="269">
        <v>1</v>
      </c>
      <c r="E15" s="269">
        <v>1</v>
      </c>
      <c r="F15" s="269">
        <v>2.35</v>
      </c>
      <c r="G15" s="270">
        <v>0.2013888888888889</v>
      </c>
      <c r="H15" s="270">
        <v>0.375</v>
      </c>
      <c r="I15" s="270">
        <v>0.17361111111111113</v>
      </c>
      <c r="J15" s="271">
        <v>26</v>
      </c>
      <c r="K15" s="269">
        <v>11.2</v>
      </c>
      <c r="L15" s="265">
        <v>3.7142857142857144</v>
      </c>
      <c r="M15" s="265">
        <v>0.44799999999999995</v>
      </c>
      <c r="N15" s="268">
        <v>4.1622857142857139</v>
      </c>
      <c r="O15" s="178"/>
      <c r="P15" s="178"/>
      <c r="Q15" s="94"/>
      <c r="R15" s="94"/>
    </row>
    <row r="16" spans="1:18" s="48" customFormat="1" ht="15">
      <c r="A16" s="1035"/>
      <c r="B16" s="272" t="s">
        <v>451</v>
      </c>
      <c r="C16" s="273" t="s">
        <v>195</v>
      </c>
      <c r="D16" s="269">
        <v>2</v>
      </c>
      <c r="E16" s="269">
        <v>2</v>
      </c>
      <c r="F16" s="266">
        <v>2.0699999999999998</v>
      </c>
      <c r="G16" s="270">
        <v>0.2013888888888889</v>
      </c>
      <c r="H16" s="270">
        <v>0.35416666666666663</v>
      </c>
      <c r="I16" s="270">
        <v>0.15277777777777776</v>
      </c>
      <c r="J16" s="271">
        <v>23</v>
      </c>
      <c r="K16" s="269">
        <v>9.1999999999999993</v>
      </c>
      <c r="L16" s="274">
        <v>3.2857142857142856</v>
      </c>
      <c r="M16" s="269">
        <v>0.36799999999999999</v>
      </c>
      <c r="N16" s="268">
        <v>3.6537142857142855</v>
      </c>
      <c r="O16" s="178"/>
      <c r="P16" s="178"/>
      <c r="Q16" s="94"/>
      <c r="R16" s="94"/>
    </row>
    <row r="17" spans="1:18" s="47" customFormat="1" ht="15.75" thickBot="1">
      <c r="A17" s="1036"/>
      <c r="B17" s="282" t="s">
        <v>199</v>
      </c>
      <c r="C17" s="282" t="s">
        <v>188</v>
      </c>
      <c r="D17" s="282">
        <v>3</v>
      </c>
      <c r="E17" s="282">
        <v>3</v>
      </c>
      <c r="F17" s="283">
        <f>'COLETA RURAL'!H11+'COLETA RURAL'!H12</f>
        <v>0.97440000000000004</v>
      </c>
      <c r="G17" s="284">
        <v>0.25</v>
      </c>
      <c r="H17" s="284">
        <f t="shared" si="0"/>
        <v>0.47152777777777777</v>
      </c>
      <c r="I17" s="284">
        <v>0.22152777777777777</v>
      </c>
      <c r="J17" s="282">
        <f>4.61+2.71</f>
        <v>7.32</v>
      </c>
      <c r="K17" s="282">
        <v>158.69999999999999</v>
      </c>
      <c r="L17" s="282">
        <f t="shared" si="1"/>
        <v>1.0457142857142858</v>
      </c>
      <c r="M17" s="282">
        <f>K17/40</f>
        <v>3.9674999999999998</v>
      </c>
      <c r="N17" s="285">
        <f>SUM(L17:M17)</f>
        <v>5.0132142857142856</v>
      </c>
      <c r="O17" s="178"/>
      <c r="P17" s="94"/>
      <c r="Q17" s="94"/>
      <c r="R17" s="94"/>
    </row>
    <row r="18" spans="1:18" ht="15">
      <c r="A18" s="1033" t="s">
        <v>190</v>
      </c>
      <c r="B18" s="261" t="s">
        <v>449</v>
      </c>
      <c r="C18" s="261" t="s">
        <v>195</v>
      </c>
      <c r="D18" s="261">
        <v>1</v>
      </c>
      <c r="E18" s="261">
        <v>1</v>
      </c>
      <c r="F18" s="262">
        <v>1.61</v>
      </c>
      <c r="G18" s="263">
        <v>8.3333333333333329E-2</v>
      </c>
      <c r="H18" s="263">
        <v>0.2013888888888889</v>
      </c>
      <c r="I18" s="263">
        <v>0.11805555555555557</v>
      </c>
      <c r="J18" s="262">
        <v>17.809999999999999</v>
      </c>
      <c r="K18" s="261">
        <v>7.2</v>
      </c>
      <c r="L18" s="261">
        <v>2.544285714285714</v>
      </c>
      <c r="M18" s="261">
        <v>0.28800000000000003</v>
      </c>
      <c r="N18" s="264">
        <v>2.8322857142857139</v>
      </c>
      <c r="O18" s="178"/>
      <c r="P18" s="94"/>
      <c r="Q18" s="94"/>
      <c r="R18" s="94"/>
    </row>
    <row r="19" spans="1:18" ht="15">
      <c r="A19" s="1034"/>
      <c r="B19" s="265" t="s">
        <v>450</v>
      </c>
      <c r="C19" s="265" t="s">
        <v>195</v>
      </c>
      <c r="D19" s="265">
        <v>2</v>
      </c>
      <c r="E19" s="265">
        <v>2</v>
      </c>
      <c r="F19" s="266">
        <v>1.59</v>
      </c>
      <c r="G19" s="267">
        <v>8.3333333333333329E-2</v>
      </c>
      <c r="H19" s="267">
        <v>0.2013888888888889</v>
      </c>
      <c r="I19" s="267">
        <v>0.11805555555555557</v>
      </c>
      <c r="J19" s="266">
        <v>17.690000000000001</v>
      </c>
      <c r="K19" s="265">
        <v>7.2</v>
      </c>
      <c r="L19" s="265">
        <v>2.5271428571428571</v>
      </c>
      <c r="M19" s="265">
        <v>0.28800000000000003</v>
      </c>
      <c r="N19" s="268">
        <v>2.8151428571428569</v>
      </c>
      <c r="O19" s="178"/>
      <c r="P19" s="178"/>
      <c r="Q19" s="94"/>
      <c r="R19" s="94"/>
    </row>
    <row r="20" spans="1:18" ht="15">
      <c r="A20" s="1034"/>
      <c r="B20" s="269" t="s">
        <v>452</v>
      </c>
      <c r="C20" s="269" t="s">
        <v>195</v>
      </c>
      <c r="D20" s="269">
        <v>1</v>
      </c>
      <c r="E20" s="269">
        <v>1</v>
      </c>
      <c r="F20" s="269">
        <v>2.35</v>
      </c>
      <c r="G20" s="270">
        <v>0.2013888888888889</v>
      </c>
      <c r="H20" s="270">
        <v>0.375</v>
      </c>
      <c r="I20" s="270">
        <v>0.17361111111111113</v>
      </c>
      <c r="J20" s="271">
        <v>26</v>
      </c>
      <c r="K20" s="269">
        <v>11.2</v>
      </c>
      <c r="L20" s="265">
        <v>3.7142857142857144</v>
      </c>
      <c r="M20" s="265">
        <v>0.44799999999999995</v>
      </c>
      <c r="N20" s="268">
        <v>4.1622857142857139</v>
      </c>
      <c r="O20" s="178"/>
      <c r="P20" s="94"/>
      <c r="Q20" s="94"/>
      <c r="R20" s="94"/>
    </row>
    <row r="21" spans="1:18" s="48" customFormat="1" ht="15">
      <c r="A21" s="1035"/>
      <c r="B21" s="272" t="s">
        <v>451</v>
      </c>
      <c r="C21" s="273" t="s">
        <v>195</v>
      </c>
      <c r="D21" s="269">
        <v>2</v>
      </c>
      <c r="E21" s="269">
        <v>2</v>
      </c>
      <c r="F21" s="266">
        <v>2.0699999999999998</v>
      </c>
      <c r="G21" s="270">
        <v>0.2013888888888889</v>
      </c>
      <c r="H21" s="270">
        <v>0.35416666666666663</v>
      </c>
      <c r="I21" s="270">
        <v>0.15277777777777776</v>
      </c>
      <c r="J21" s="271">
        <v>23</v>
      </c>
      <c r="K21" s="269">
        <v>9.1999999999999993</v>
      </c>
      <c r="L21" s="274">
        <v>3.2857142857142856</v>
      </c>
      <c r="M21" s="269">
        <v>0.36799999999999999</v>
      </c>
      <c r="N21" s="268">
        <v>3.6537142857142855</v>
      </c>
      <c r="O21" s="178"/>
      <c r="P21" s="94"/>
      <c r="Q21" s="94"/>
      <c r="R21" s="94"/>
    </row>
    <row r="22" spans="1:18" ht="15.75" thickBot="1">
      <c r="A22" s="1036"/>
      <c r="B22" s="282" t="s">
        <v>200</v>
      </c>
      <c r="C22" s="282" t="s">
        <v>188</v>
      </c>
      <c r="D22" s="282">
        <v>3</v>
      </c>
      <c r="E22" s="282">
        <v>3</v>
      </c>
      <c r="F22" s="283">
        <f>'COLETA RURAL'!H13+'COLETA RURAL'!H14</f>
        <v>2.1588000000000003</v>
      </c>
      <c r="G22" s="284">
        <v>0.25</v>
      </c>
      <c r="H22" s="284">
        <f t="shared" si="0"/>
        <v>0.46666666666666667</v>
      </c>
      <c r="I22" s="284">
        <v>0.21666666666666667</v>
      </c>
      <c r="J22" s="282">
        <f>2.2+9.09</f>
        <v>11.29</v>
      </c>
      <c r="K22" s="282">
        <v>143.80000000000001</v>
      </c>
      <c r="L22" s="282">
        <f t="shared" si="1"/>
        <v>1.6128571428571428</v>
      </c>
      <c r="M22" s="282">
        <f>K22/40</f>
        <v>3.5950000000000002</v>
      </c>
      <c r="N22" s="285">
        <f>SUM(L22:M22)</f>
        <v>5.2078571428571427</v>
      </c>
      <c r="O22" s="94"/>
      <c r="P22" s="94"/>
      <c r="Q22" s="94"/>
      <c r="R22" s="94"/>
    </row>
    <row r="23" spans="1:18" ht="15">
      <c r="A23" s="1033" t="s">
        <v>191</v>
      </c>
      <c r="B23" s="261" t="s">
        <v>449</v>
      </c>
      <c r="C23" s="261" t="s">
        <v>195</v>
      </c>
      <c r="D23" s="261">
        <v>1</v>
      </c>
      <c r="E23" s="261">
        <v>1</v>
      </c>
      <c r="F23" s="262">
        <v>1.61</v>
      </c>
      <c r="G23" s="263">
        <v>8.3333333333333329E-2</v>
      </c>
      <c r="H23" s="263">
        <v>0.2013888888888889</v>
      </c>
      <c r="I23" s="263">
        <v>0.11805555555555557</v>
      </c>
      <c r="J23" s="262">
        <v>17.809999999999999</v>
      </c>
      <c r="K23" s="261">
        <v>7.2</v>
      </c>
      <c r="L23" s="261">
        <v>2.544285714285714</v>
      </c>
      <c r="M23" s="261">
        <v>0.28800000000000003</v>
      </c>
      <c r="N23" s="264">
        <v>2.8322857142857139</v>
      </c>
      <c r="O23" s="178"/>
      <c r="P23" s="94"/>
      <c r="Q23" s="94"/>
      <c r="R23" s="94"/>
    </row>
    <row r="24" spans="1:18" ht="15">
      <c r="A24" s="1034"/>
      <c r="B24" s="265" t="s">
        <v>450</v>
      </c>
      <c r="C24" s="265" t="s">
        <v>195</v>
      </c>
      <c r="D24" s="265">
        <v>2</v>
      </c>
      <c r="E24" s="265">
        <v>2</v>
      </c>
      <c r="F24" s="266">
        <v>1.59</v>
      </c>
      <c r="G24" s="267">
        <v>8.3333333333333329E-2</v>
      </c>
      <c r="H24" s="267">
        <v>0.2013888888888889</v>
      </c>
      <c r="I24" s="267">
        <v>0.11805555555555557</v>
      </c>
      <c r="J24" s="266">
        <v>17.690000000000001</v>
      </c>
      <c r="K24" s="265">
        <v>7.2</v>
      </c>
      <c r="L24" s="265">
        <v>2.5271428571428571</v>
      </c>
      <c r="M24" s="265">
        <v>0.28800000000000003</v>
      </c>
      <c r="N24" s="268">
        <v>2.8151428571428569</v>
      </c>
      <c r="O24" s="178"/>
      <c r="P24" s="178"/>
      <c r="Q24" s="94"/>
      <c r="R24" s="94"/>
    </row>
    <row r="25" spans="1:18" ht="15">
      <c r="A25" s="1034"/>
      <c r="B25" s="269" t="s">
        <v>452</v>
      </c>
      <c r="C25" s="269" t="s">
        <v>195</v>
      </c>
      <c r="D25" s="269">
        <v>1</v>
      </c>
      <c r="E25" s="269">
        <v>1</v>
      </c>
      <c r="F25" s="269">
        <v>2.35</v>
      </c>
      <c r="G25" s="270">
        <v>0.2013888888888889</v>
      </c>
      <c r="H25" s="270">
        <v>0.375</v>
      </c>
      <c r="I25" s="270">
        <v>0.17361111111111113</v>
      </c>
      <c r="J25" s="271">
        <v>26</v>
      </c>
      <c r="K25" s="269">
        <v>11.2</v>
      </c>
      <c r="L25" s="265">
        <v>3.7142857142857144</v>
      </c>
      <c r="M25" s="265">
        <v>0.44799999999999995</v>
      </c>
      <c r="N25" s="268">
        <v>4.1622857142857139</v>
      </c>
      <c r="O25" s="178"/>
      <c r="P25" s="94"/>
      <c r="Q25" s="94"/>
      <c r="R25" s="94"/>
    </row>
    <row r="26" spans="1:18" s="48" customFormat="1" ht="15">
      <c r="A26" s="1035"/>
      <c r="B26" s="272" t="s">
        <v>451</v>
      </c>
      <c r="C26" s="273" t="s">
        <v>195</v>
      </c>
      <c r="D26" s="269">
        <v>2</v>
      </c>
      <c r="E26" s="269">
        <v>2</v>
      </c>
      <c r="F26" s="266">
        <v>2.0699999999999998</v>
      </c>
      <c r="G26" s="270">
        <v>0.2013888888888889</v>
      </c>
      <c r="H26" s="270">
        <v>0.35416666666666663</v>
      </c>
      <c r="I26" s="270">
        <v>0.15277777777777776</v>
      </c>
      <c r="J26" s="271">
        <v>23</v>
      </c>
      <c r="K26" s="269">
        <v>9.1999999999999993</v>
      </c>
      <c r="L26" s="274">
        <v>3.2857142857142856</v>
      </c>
      <c r="M26" s="269">
        <v>0.36799999999999999</v>
      </c>
      <c r="N26" s="268">
        <v>3.6537142857142855</v>
      </c>
      <c r="O26" s="178"/>
      <c r="P26" s="94"/>
      <c r="Q26" s="94"/>
      <c r="R26" s="94"/>
    </row>
    <row r="27" spans="1:18" ht="15.75" thickBot="1">
      <c r="A27" s="1036"/>
      <c r="B27" s="282" t="s">
        <v>147</v>
      </c>
      <c r="C27" s="282" t="s">
        <v>188</v>
      </c>
      <c r="D27" s="282">
        <v>3</v>
      </c>
      <c r="E27" s="282">
        <v>3</v>
      </c>
      <c r="F27" s="283">
        <f>'COLETA RURAL'!H15</f>
        <v>0.16800000000000001</v>
      </c>
      <c r="G27" s="284">
        <v>0.25</v>
      </c>
      <c r="H27" s="284">
        <f t="shared" si="0"/>
        <v>0.28541666666666665</v>
      </c>
      <c r="I27" s="284">
        <v>3.5416666666666666E-2</v>
      </c>
      <c r="J27" s="282">
        <v>1.55</v>
      </c>
      <c r="K27" s="282">
        <f>'COLETA RURAL'!I15</f>
        <v>30.54</v>
      </c>
      <c r="L27" s="282">
        <f t="shared" si="1"/>
        <v>0.22142857142857145</v>
      </c>
      <c r="M27" s="282">
        <f>K27/40</f>
        <v>0.76349999999999996</v>
      </c>
      <c r="N27" s="285">
        <f>SUM(L27:M27)</f>
        <v>0.98492857142857138</v>
      </c>
      <c r="O27" s="178"/>
      <c r="P27" s="94"/>
      <c r="Q27" s="94"/>
      <c r="R27" s="94"/>
    </row>
    <row r="28" spans="1:18" ht="15">
      <c r="A28" s="1033" t="s">
        <v>140</v>
      </c>
      <c r="B28" s="261" t="s">
        <v>449</v>
      </c>
      <c r="C28" s="261" t="s">
        <v>195</v>
      </c>
      <c r="D28" s="261">
        <v>1</v>
      </c>
      <c r="E28" s="261">
        <v>1</v>
      </c>
      <c r="F28" s="262">
        <v>1.61</v>
      </c>
      <c r="G28" s="263">
        <v>8.3333333333333329E-2</v>
      </c>
      <c r="H28" s="263">
        <v>0.2013888888888889</v>
      </c>
      <c r="I28" s="263">
        <v>0.11805555555555557</v>
      </c>
      <c r="J28" s="262">
        <v>17.809999999999999</v>
      </c>
      <c r="K28" s="261">
        <v>7.2</v>
      </c>
      <c r="L28" s="261">
        <v>2.544285714285714</v>
      </c>
      <c r="M28" s="261">
        <v>0.28800000000000003</v>
      </c>
      <c r="N28" s="264">
        <v>2.8322857142857139</v>
      </c>
      <c r="O28" s="94"/>
      <c r="P28" s="94"/>
      <c r="Q28" s="94"/>
      <c r="R28" s="94"/>
    </row>
    <row r="29" spans="1:18" ht="15">
      <c r="A29" s="1034"/>
      <c r="B29" s="265" t="s">
        <v>450</v>
      </c>
      <c r="C29" s="265" t="s">
        <v>195</v>
      </c>
      <c r="D29" s="265">
        <v>2</v>
      </c>
      <c r="E29" s="265">
        <v>2</v>
      </c>
      <c r="F29" s="266">
        <v>1.59</v>
      </c>
      <c r="G29" s="267">
        <v>8.3333333333333329E-2</v>
      </c>
      <c r="H29" s="267">
        <v>0.2013888888888889</v>
      </c>
      <c r="I29" s="267">
        <v>0.11805555555555557</v>
      </c>
      <c r="J29" s="266">
        <v>17.690000000000001</v>
      </c>
      <c r="K29" s="265">
        <v>7.2</v>
      </c>
      <c r="L29" s="265">
        <v>2.5271428571428571</v>
      </c>
      <c r="M29" s="265">
        <v>0.28800000000000003</v>
      </c>
      <c r="N29" s="268">
        <v>2.8151428571428569</v>
      </c>
      <c r="O29" s="178"/>
      <c r="P29" s="178"/>
      <c r="Q29" s="94"/>
      <c r="R29" s="94"/>
    </row>
    <row r="30" spans="1:18" ht="15">
      <c r="A30" s="1034"/>
      <c r="B30" s="269" t="s">
        <v>452</v>
      </c>
      <c r="C30" s="269" t="s">
        <v>195</v>
      </c>
      <c r="D30" s="269">
        <v>1</v>
      </c>
      <c r="E30" s="269">
        <v>1</v>
      </c>
      <c r="F30" s="269">
        <v>2.35</v>
      </c>
      <c r="G30" s="270">
        <v>0.2013888888888889</v>
      </c>
      <c r="H30" s="270">
        <v>0.375</v>
      </c>
      <c r="I30" s="270">
        <v>0.17361111111111113</v>
      </c>
      <c r="J30" s="271">
        <v>26</v>
      </c>
      <c r="K30" s="269">
        <v>11.2</v>
      </c>
      <c r="L30" s="265">
        <v>3.7142857142857144</v>
      </c>
      <c r="M30" s="265">
        <v>0.44799999999999995</v>
      </c>
      <c r="N30" s="268">
        <v>4.1622857142857139</v>
      </c>
      <c r="O30" s="179"/>
      <c r="P30" s="94"/>
      <c r="Q30" s="94"/>
      <c r="R30" s="94"/>
    </row>
    <row r="31" spans="1:18" ht="15.75" thickBot="1">
      <c r="A31" s="1036"/>
      <c r="B31" s="275" t="s">
        <v>451</v>
      </c>
      <c r="C31" s="276" t="s">
        <v>195</v>
      </c>
      <c r="D31" s="276">
        <v>2</v>
      </c>
      <c r="E31" s="276">
        <v>2</v>
      </c>
      <c r="F31" s="277">
        <v>2.0699999999999998</v>
      </c>
      <c r="G31" s="278">
        <v>0.2013888888888889</v>
      </c>
      <c r="H31" s="278">
        <v>0.35416666666666663</v>
      </c>
      <c r="I31" s="278">
        <v>0.15277777777777776</v>
      </c>
      <c r="J31" s="279">
        <v>23</v>
      </c>
      <c r="K31" s="276">
        <v>9.1999999999999993</v>
      </c>
      <c r="L31" s="280">
        <v>3.2857142857142856</v>
      </c>
      <c r="M31" s="276">
        <v>0.36799999999999999</v>
      </c>
      <c r="N31" s="281">
        <v>3.6537142857142855</v>
      </c>
      <c r="O31" s="94"/>
      <c r="P31" s="94"/>
      <c r="Q31" s="94"/>
      <c r="R31" s="94"/>
    </row>
    <row r="32" spans="1:18" ht="15">
      <c r="A32" s="655"/>
      <c r="B32" s="655"/>
      <c r="C32" s="655"/>
      <c r="D32" s="655"/>
      <c r="E32" s="655"/>
      <c r="F32" s="655"/>
      <c r="G32" s="655"/>
      <c r="H32" s="655"/>
      <c r="I32" s="655"/>
      <c r="J32" s="655"/>
      <c r="K32" s="655"/>
      <c r="L32" s="655"/>
      <c r="M32" s="655"/>
      <c r="N32" s="655"/>
      <c r="O32" s="94"/>
      <c r="P32" s="94"/>
      <c r="Q32" s="94"/>
      <c r="R32" s="94"/>
    </row>
    <row r="33" spans="1:18" ht="15">
      <c r="A33" s="648"/>
      <c r="B33" s="648"/>
      <c r="C33" s="648"/>
      <c r="D33" s="648"/>
      <c r="E33" s="648"/>
      <c r="F33" s="648"/>
      <c r="G33" s="648"/>
      <c r="H33" s="648"/>
      <c r="I33" s="648"/>
      <c r="J33" s="648"/>
      <c r="K33" s="648"/>
      <c r="L33" s="648"/>
      <c r="M33" s="648"/>
      <c r="N33" s="648"/>
      <c r="O33" s="94"/>
      <c r="P33" s="94"/>
      <c r="Q33" s="94"/>
      <c r="R33" s="94"/>
    </row>
    <row r="34" spans="1:18" ht="15">
      <c r="A34" s="648"/>
      <c r="B34" s="648"/>
      <c r="C34" s="648"/>
      <c r="D34" s="648"/>
      <c r="E34" s="648"/>
      <c r="F34" s="648"/>
      <c r="G34" s="648"/>
      <c r="H34" s="648"/>
      <c r="I34" s="648"/>
      <c r="J34" s="648"/>
      <c r="K34" s="648"/>
      <c r="L34" s="648"/>
      <c r="M34" s="648"/>
      <c r="N34" s="648"/>
      <c r="O34" s="94"/>
      <c r="P34" s="94"/>
      <c r="Q34" s="94"/>
      <c r="R34" s="94"/>
    </row>
    <row r="35" spans="1:18" ht="15">
      <c r="A35" s="648"/>
      <c r="B35" s="654"/>
      <c r="C35" s="654"/>
      <c r="D35" s="654"/>
      <c r="E35" s="654"/>
      <c r="F35" s="648"/>
      <c r="G35" s="648"/>
      <c r="H35" s="648"/>
      <c r="I35" s="648"/>
      <c r="J35" s="648"/>
      <c r="K35" s="648"/>
      <c r="L35" s="648"/>
      <c r="M35" s="648"/>
      <c r="N35" s="648"/>
      <c r="O35" s="94"/>
      <c r="P35" s="94"/>
      <c r="Q35" s="94"/>
      <c r="R35" s="94"/>
    </row>
    <row r="36" spans="1:18" ht="15">
      <c r="A36" s="653"/>
      <c r="B36" s="1027" t="s">
        <v>592</v>
      </c>
      <c r="C36" s="1027"/>
      <c r="D36" s="646" t="s">
        <v>211</v>
      </c>
      <c r="E36" s="646" t="s">
        <v>593</v>
      </c>
      <c r="F36" s="647"/>
      <c r="G36" s="648"/>
      <c r="H36" s="648"/>
      <c r="I36" s="648"/>
      <c r="J36" s="648"/>
      <c r="K36" s="648"/>
      <c r="L36" s="648"/>
      <c r="M36" s="648"/>
      <c r="N36" s="648"/>
      <c r="O36" s="94"/>
      <c r="P36" s="94"/>
      <c r="Q36" s="94"/>
      <c r="R36" s="94"/>
    </row>
    <row r="37" spans="1:18" ht="15">
      <c r="A37" s="653"/>
      <c r="B37" s="1027"/>
      <c r="C37" s="1027"/>
      <c r="D37" s="646" t="s">
        <v>209</v>
      </c>
      <c r="E37" s="649" t="s">
        <v>210</v>
      </c>
      <c r="F37" s="650"/>
      <c r="G37" s="651"/>
      <c r="H37" s="651"/>
      <c r="I37" s="651"/>
      <c r="J37" s="648"/>
      <c r="K37" s="648"/>
      <c r="L37" s="648"/>
      <c r="M37" s="648"/>
      <c r="N37" s="648"/>
      <c r="O37" s="94"/>
      <c r="P37" s="94"/>
      <c r="Q37" s="94"/>
      <c r="R37" s="94"/>
    </row>
    <row r="38" spans="1:18" ht="15">
      <c r="A38" s="653"/>
      <c r="B38" s="1028" t="s">
        <v>594</v>
      </c>
      <c r="C38" s="1028"/>
      <c r="D38" s="1029" t="s">
        <v>595</v>
      </c>
      <c r="E38" s="1027" t="s">
        <v>596</v>
      </c>
      <c r="F38" s="650"/>
      <c r="G38" s="651"/>
      <c r="H38" s="651"/>
      <c r="I38" s="651"/>
      <c r="J38" s="648"/>
      <c r="K38" s="648"/>
      <c r="L38" s="648"/>
      <c r="M38" s="648"/>
      <c r="N38" s="648"/>
      <c r="O38" s="94"/>
      <c r="P38" s="94"/>
      <c r="Q38" s="94"/>
      <c r="R38" s="94"/>
    </row>
    <row r="39" spans="1:18" ht="15">
      <c r="A39" s="653"/>
      <c r="B39" s="1028"/>
      <c r="C39" s="1028"/>
      <c r="D39" s="1029"/>
      <c r="E39" s="1027"/>
      <c r="F39" s="650"/>
      <c r="G39" s="651"/>
      <c r="H39" s="651"/>
      <c r="I39" s="651"/>
      <c r="J39" s="648"/>
      <c r="K39" s="648"/>
      <c r="L39" s="648"/>
      <c r="M39" s="648"/>
      <c r="N39" s="648"/>
      <c r="O39" s="94"/>
      <c r="P39" s="94"/>
      <c r="Q39" s="94"/>
      <c r="R39" s="94"/>
    </row>
    <row r="40" spans="1:18" ht="15">
      <c r="A40" s="648"/>
      <c r="B40" s="652" t="s">
        <v>208</v>
      </c>
      <c r="C40" s="652"/>
      <c r="D40" s="652"/>
      <c r="E40" s="652"/>
      <c r="F40" s="651"/>
      <c r="G40" s="651"/>
      <c r="H40" s="651"/>
      <c r="I40" s="651"/>
      <c r="J40" s="648"/>
      <c r="K40" s="648"/>
      <c r="L40" s="648"/>
      <c r="M40" s="648"/>
      <c r="N40" s="648"/>
      <c r="O40" s="94"/>
      <c r="P40" s="94"/>
      <c r="Q40" s="94"/>
      <c r="R40" s="94"/>
    </row>
    <row r="41" spans="1:18" ht="15">
      <c r="A41" s="648"/>
      <c r="B41" s="648"/>
      <c r="C41" s="648"/>
      <c r="D41" s="648"/>
      <c r="E41" s="648"/>
      <c r="F41" s="648"/>
      <c r="G41" s="648"/>
      <c r="H41" s="648"/>
      <c r="I41" s="648"/>
      <c r="J41" s="648"/>
      <c r="K41" s="648"/>
      <c r="L41" s="648"/>
      <c r="M41" s="648"/>
      <c r="N41" s="648"/>
      <c r="O41" s="94"/>
      <c r="P41" s="94"/>
      <c r="Q41" s="94"/>
      <c r="R41" s="94"/>
    </row>
    <row r="42" spans="1:18" ht="15">
      <c r="A42" s="94"/>
      <c r="B42" s="94"/>
      <c r="C42" s="94"/>
      <c r="D42" s="94"/>
      <c r="J42"/>
    </row>
    <row r="43" spans="1:18" ht="15">
      <c r="A43" s="94"/>
      <c r="B43" s="94"/>
      <c r="C43" s="94"/>
      <c r="D43" s="94"/>
      <c r="J43"/>
    </row>
    <row r="44" spans="1:18" ht="15">
      <c r="A44" s="94"/>
      <c r="B44" s="94"/>
      <c r="C44" s="94"/>
      <c r="D44" s="94"/>
      <c r="J44"/>
    </row>
    <row r="45" spans="1:18">
      <c r="C45"/>
      <c r="J45"/>
    </row>
    <row r="46" spans="1:18">
      <c r="C46"/>
      <c r="J46"/>
    </row>
    <row r="47" spans="1:18">
      <c r="C47"/>
      <c r="J47"/>
    </row>
    <row r="48" spans="1:18">
      <c r="C48"/>
      <c r="J48"/>
    </row>
    <row r="49" spans="3:10">
      <c r="C49"/>
      <c r="J49"/>
    </row>
  </sheetData>
  <sheetProtection algorithmName="SHA-512" hashValue="7scF3U+qNpIjCE/zbPhB3YaflRCBaK0P41uXmmKxiDccXJu/3yBBM/+Bntc5PSm41ZPa+dSh3Wk0x2rKbOMFjg==" saltValue="6cu4Iz7mskgfonnmYISMXQ==" spinCount="100000" sheet="1" objects="1" scenarios="1"/>
  <mergeCells count="11">
    <mergeCell ref="B36:C37"/>
    <mergeCell ref="B38:C39"/>
    <mergeCell ref="D38:D39"/>
    <mergeCell ref="E38:E39"/>
    <mergeCell ref="A1:N1"/>
    <mergeCell ref="A23:A27"/>
    <mergeCell ref="A28:A31"/>
    <mergeCell ref="A3:A7"/>
    <mergeCell ref="A8:A12"/>
    <mergeCell ref="A13:A17"/>
    <mergeCell ref="A18:A22"/>
  </mergeCells>
  <phoneticPr fontId="17" type="noConversion"/>
  <pageMargins left="0.511811024" right="0.511811024" top="0.78740157499999996" bottom="0.78740157499999996" header="0.31496062000000002" footer="0.31496062000000002"/>
  <pageSetup paperSize="9" scale="49" orientation="portrait" r:id="rId1"/>
  <drawing r:id="rId2"/>
  <legacyDrawing r:id="rId3"/>
  <oleObjects>
    <mc:AlternateContent xmlns:mc="http://schemas.openxmlformats.org/markup-compatibility/2006">
      <mc:Choice Requires="x14">
        <oleObject progId="CorelDraw.Graphic.18" shapeId="27649" r:id="rId4">
          <objectPr defaultSize="0" autoPict="0" r:id="rId5">
            <anchor moveWithCells="1">
              <from>
                <xdr:col>3</xdr:col>
                <xdr:colOff>561975</xdr:colOff>
                <xdr:row>0</xdr:row>
                <xdr:rowOff>76200</xdr:rowOff>
              </from>
              <to>
                <xdr:col>5</xdr:col>
                <xdr:colOff>104775</xdr:colOff>
                <xdr:row>0</xdr:row>
                <xdr:rowOff>762000</xdr:rowOff>
              </to>
            </anchor>
          </objectPr>
        </oleObject>
      </mc:Choice>
      <mc:Fallback>
        <oleObject progId="CorelDraw.Graphic.18" shapeId="2764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3 K B X G F 5 0 g u n A A A A + A A A A B I A H A B D b 2 5 m a W c v U G F j a 2 F n Z S 5 4 b W w g o h g A K K A U A A A A A A A A A A A A A A A A A A A A A A A A A A A A h Y / B C o I w H I d f R X Z 3 m 2 Y o 8 n d C X R O i I L q O t X S k U 9 x s v l u H H q l X S C i r W 8 f f x 3 f 4 f o / b H f K x q b 2 r 7 I 1 q d Y Y C T J E n t W h P S p c Z G u z Z T 1 D O Y M v F h Z f S m 2 R t 0 t G c M l R Z 2 6 W E O O e w W + C 2 L 0 l I a U C O x W Y v K t l w 9 J H V f 9 l X 2 l i u h U Q M D q 8 Y F u I 4 w c s 4 o j h K A i A z h k L p r x J O x Z g C + Y G w H m o 7 9 J J 1 1 l / t g M w T y P s F e w J Q S w M E F A A C A A g A + 3 K B 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t y g V w o i k e 4 D g A A A B E A A A A T A B w A R m 9 y b X V s Y X M v U 2 V j d G l v b j E u b S C i G A A o o B Q A A A A A A A A A A A A A A A A A A A A A A A A A A A A r T k 0 u y c z P U w i G 0 I b W A F B L A Q I t A B Q A A g A I A P t y g V x h e d I L p w A A A P g A A A A S A A A A A A A A A A A A A A A A A A A A A A B D b 2 5 m a W c v U G F j a 2 F n Z S 5 4 b W x Q S w E C L Q A U A A I A C A D 7 c o F c D 8 r p q 6 Q A A A D p A A A A E w A A A A A A A A A A A A A A A A D z A A A A W 0 N v b n R l b n R f V H l w Z X N d L n h t b F B L A Q I t A B Q A A g A I A P t y g V 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F i x s t R S 7 R Q Y H 3 4 u w f D V P J A A A A A A I A A A A A A B B m A A A A A Q A A I A A A A A j u R d q u c I D 7 5 + d b E j / A y N 5 d t I F S S C + C 8 R 3 S X l H O j v T L A A A A A A 6 A A A A A A g A A I A A A A N K s 1 q o 1 Y J l f 2 q 5 t l q u F r O w k b t H 7 e Q g j T N 7 / Z S v v W K t A U A A A A N G Y s p p Z I u p j p G f u d W a u U M d W K P o s S E N z k y 5 B / Q O x 8 u L y I + w B F l 7 V P C n x N o 8 k G S c 9 T a n u a l 7 R s v H A 7 B U J V Y 9 K g T 6 I R f n z M n Z j l z t M h Q 1 7 a z 8 l Q A A A A I M w + s X 0 P x w e + 6 S D I W G A t C L g 6 W a A K L f 1 u F 9 p K b / X / p / w i / 9 L I h a f B T j q H i W B a Q 1 6 y y X + I x u G B Q A M 6 n A 4 w 1 Y f s n 0 = < / D a t a M a s h u p > 
</file>

<file path=customXml/itemProps1.xml><?xml version="1.0" encoding="utf-8"?>
<ds:datastoreItem xmlns:ds="http://schemas.openxmlformats.org/officeDocument/2006/customXml" ds:itemID="{195C08FD-0634-417A-9D3F-F8D7D51936F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19</vt:i4>
      </vt:variant>
    </vt:vector>
  </HeadingPairs>
  <TitlesOfParts>
    <vt:vector size="35" baseType="lpstr">
      <vt:lpstr>INF. BÁSICAS</vt:lpstr>
      <vt:lpstr>ENCARGOS </vt:lpstr>
      <vt:lpstr>EPI</vt:lpstr>
      <vt:lpstr>BDI</vt:lpstr>
      <vt:lpstr>COLETA URBANA</vt:lpstr>
      <vt:lpstr>COLETA RURAL</vt:lpstr>
      <vt:lpstr>CAMINHÃO BASC. URBANO</vt:lpstr>
      <vt:lpstr>CAMINHÃO BASC. RURAL</vt:lpstr>
      <vt:lpstr>CRONOGRAMA DE COLETA</vt:lpstr>
      <vt:lpstr>M.O. COLETA</vt:lpstr>
      <vt:lpstr>RESUMO COLETA URB</vt:lpstr>
      <vt:lpstr>RESUMO COLETA RURAL</vt:lpstr>
      <vt:lpstr>VEÍCULO UTILITÁRIO - PICKUP</vt:lpstr>
      <vt:lpstr>M.O. ADM LOCAL</vt:lpstr>
      <vt:lpstr>ADM. LOCAL</vt:lpstr>
      <vt:lpstr>RESUMO GLOBAL</vt:lpstr>
      <vt:lpstr>'COLETA RURAL'!Area_de_impressao</vt:lpstr>
      <vt:lpstr>'COLETA URBANA'!Area_de_impressao</vt:lpstr>
      <vt:lpstr>'CRONOGRAMA DE COLETA'!Area_de_impressao</vt:lpstr>
      <vt:lpstr>'ENCARGOS '!Area_de_impressao</vt:lpstr>
      <vt:lpstr>EPI!Area_de_impressao</vt:lpstr>
      <vt:lpstr>'INF. BÁSICAS'!Area_de_impressao</vt:lpstr>
      <vt:lpstr>'M.O. ADM LOCAL'!Area_de_impressao</vt:lpstr>
      <vt:lpstr>'M.O. COLETA'!Area_de_impressao</vt:lpstr>
      <vt:lpstr>'RESUMO COLETA RURAL'!Area_de_impressao</vt:lpstr>
      <vt:lpstr>'RESUMO COLETA URB'!Area_de_impressao</vt:lpstr>
      <vt:lpstr>'RESUMO GLOBAL'!Area_de_impressao</vt:lpstr>
      <vt:lpstr>'VEÍCULO UTILITÁRIO - PICKUP'!Area_de_impressao</vt:lpstr>
      <vt:lpstr>dias_mes</vt:lpstr>
      <vt:lpstr>dias_seg_sex</vt:lpstr>
      <vt:lpstr>DIESEL</vt:lpstr>
      <vt:lpstr>'ENCARGOS '!encargos</vt:lpstr>
      <vt:lpstr>GASOLINA</vt:lpstr>
      <vt:lpstr>SELIC</vt:lpstr>
      <vt:lpstr>semanas_mês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Ribeiro</dc:creator>
  <cp:lastModifiedBy>PPO-USER</cp:lastModifiedBy>
  <cp:lastPrinted>2026-04-17T14:18:35Z</cp:lastPrinted>
  <dcterms:created xsi:type="dcterms:W3CDTF">2025-01-25T22:41:42Z</dcterms:created>
  <dcterms:modified xsi:type="dcterms:W3CDTF">2026-05-25T13:09:51Z</dcterms:modified>
</cp:coreProperties>
</file>