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embeddings/oleObject2.bin" ContentType="application/vnd.openxmlformats-officedocument.oleObject"/>
  <Override PartName="/xl/drawings/drawing3.xml" ContentType="application/vnd.openxmlformats-officedocument.drawing+xml"/>
  <Override PartName="/xl/embeddings/oleObject3.bin" ContentType="application/vnd.openxmlformats-officedocument.oleObject"/>
  <Override PartName="/xl/drawings/drawing4.xml" ContentType="application/vnd.openxmlformats-officedocument.drawing+xml"/>
  <Override PartName="/xl/embeddings/oleObject4.bin" ContentType="application/vnd.openxmlformats-officedocument.oleObject"/>
  <Override PartName="/xl/drawings/drawing5.xml" ContentType="application/vnd.openxmlformats-officedocument.drawing+xml"/>
  <Override PartName="/xl/embeddings/oleObject5.bin" ContentType="application/vnd.openxmlformats-officedocument.oleObject"/>
  <Override PartName="/xl/drawings/drawing6.xml" ContentType="application/vnd.openxmlformats-officedocument.drawing+xml"/>
  <Override PartName="/xl/embeddings/oleObject6.bin" ContentType="application/vnd.openxmlformats-officedocument.oleObject"/>
  <Override PartName="/xl/drawings/drawing7.xml" ContentType="application/vnd.openxmlformats-officedocument.drawing+xml"/>
  <Override PartName="/xl/embeddings/oleObject7.bin" ContentType="application/vnd.openxmlformats-officedocument.oleObject"/>
  <Override PartName="/xl/drawings/drawing8.xml" ContentType="application/vnd.openxmlformats-officedocument.drawing+xml"/>
  <Override PartName="/xl/embeddings/oleObject8.bin" ContentType="application/vnd.openxmlformats-officedocument.oleObject"/>
  <Override PartName="/xl/drawings/drawing9.xml" ContentType="application/vnd.openxmlformats-officedocument.drawing+xml"/>
  <Override PartName="/xl/embeddings/oleObject9.bin" ContentType="application/vnd.openxmlformats-officedocument.oleObject"/>
  <Override PartName="/xl/drawings/drawing10.xml" ContentType="application/vnd.openxmlformats-officedocument.drawing+xml"/>
  <Override PartName="/xl/embeddings/oleObject10.bin" ContentType="application/vnd.openxmlformats-officedocument.oleObject"/>
  <Override PartName="/xl/drawings/drawing11.xml" ContentType="application/vnd.openxmlformats-officedocument.drawing+xml"/>
  <Override PartName="/xl/embeddings/oleObject11.bin" ContentType="application/vnd.openxmlformats-officedocument.oleObject"/>
  <Override PartName="/xl/drawings/drawing12.xml" ContentType="application/vnd.openxmlformats-officedocument.drawing+xml"/>
  <Override PartName="/xl/embeddings/oleObject12.bin" ContentType="application/vnd.openxmlformats-officedocument.oleObject"/>
  <Override PartName="/xl/drawings/drawing13.xml" ContentType="application/vnd.openxmlformats-officedocument.drawing+xml"/>
  <Override PartName="/xl/embeddings/oleObject13.bin" ContentType="application/vnd.openxmlformats-officedocument.oleObject"/>
  <Override PartName="/xl/drawings/drawing14.xml" ContentType="application/vnd.openxmlformats-officedocument.drawing+xml"/>
  <Override PartName="/xl/embeddings/oleObject14.bin" ContentType="application/vnd.openxmlformats-officedocument.oleObject"/>
  <Override PartName="/xl/drawings/drawing15.xml" ContentType="application/vnd.openxmlformats-officedocument.drawing+xml"/>
  <Override PartName="/xl/embeddings/oleObject15.bin" ContentType="application/vnd.openxmlformats-officedocument.oleObject"/>
  <Override PartName="/xl/drawings/drawing16.xml" ContentType="application/vnd.openxmlformats-officedocument.drawing+xml"/>
  <Override PartName="/xl/embeddings/oleObject16.bin" ContentType="application/vnd.openxmlformats-officedocument.oleObject"/>
  <Override PartName="/xl/drawings/drawing17.xml" ContentType="application/vnd.openxmlformats-officedocument.drawing+xml"/>
  <Override PartName="/xl/embeddings/oleObject17.bin" ContentType="application/vnd.openxmlformats-officedocument.oleObject"/>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xl/richData/richValueRel.xml" ContentType="application/vnd.ms-excel.richvaluerel+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mc:AlternateContent xmlns:mc="http://schemas.openxmlformats.org/markup-compatibility/2006">
    <mc:Choice Requires="x15">
      <x15ac:absPath xmlns:x15ac="http://schemas.microsoft.com/office/spreadsheetml/2010/11/ac" url="\\10.1.1.3\Obras$\SECRETARIA DE OBRAS\Flavio\OUTROS\COLETA DE LIXO\LICITAÇÃO 2026\Arquivos Oficiais\Arquivos Para Licitação\ORÇAMENTO  RV01\"/>
    </mc:Choice>
  </mc:AlternateContent>
  <xr:revisionPtr revIDLastSave="0" documentId="13_ncr:1_{5F05812B-0666-48AA-B6FA-F31DAA74C2CC}" xr6:coauthVersionLast="45" xr6:coauthVersionMax="45" xr10:uidLastSave="{00000000-0000-0000-0000-000000000000}"/>
  <bookViews>
    <workbookView xWindow="-120" yWindow="-120" windowWidth="24240" windowHeight="13140" tabRatio="797" firstSheet="11" activeTab="15" xr2:uid="{09935851-A794-4597-965C-CBF60E1D8352}"/>
  </bookViews>
  <sheets>
    <sheet name="INF. BÁSICAS" sheetId="1" r:id="rId1"/>
    <sheet name="ENCARGOS" sheetId="6" r:id="rId2"/>
    <sheet name="EPI" sheetId="7" r:id="rId3"/>
    <sheet name="BDI" sheetId="74" r:id="rId4"/>
    <sheet name="COLETA URBANA" sheetId="10" r:id="rId5"/>
    <sheet name="COLETA RURAL" sheetId="59" r:id="rId6"/>
    <sheet name="CAMINHÃO BASC. URBANO" sheetId="68" r:id="rId7"/>
    <sheet name="CAMINHÃO BASC. RURAL" sheetId="70" r:id="rId8"/>
    <sheet name="CRONOGRAMA DE COLETA" sheetId="66" r:id="rId9"/>
    <sheet name="M.O. COLETA" sheetId="4" r:id="rId10"/>
    <sheet name="RESUMO COLETA URB" sheetId="5" r:id="rId11"/>
    <sheet name="RESUMO COLETA RURAL" sheetId="61" r:id="rId12"/>
    <sheet name="VEÍCULO UTILITÁRIO - PICKUP" sheetId="71" r:id="rId13"/>
    <sheet name="M.O. ADM LOCAL" sheetId="58" r:id="rId14"/>
    <sheet name="ADM. LOCAL" sheetId="12" r:id="rId15"/>
    <sheet name="RESUMO GLOBAL" sheetId="55" r:id="rId16"/>
    <sheet name="CRONOGRAMA FÍSICO FINANCEIRO" sheetId="72" r:id="rId17"/>
  </sheets>
  <definedNames>
    <definedName name="_Fill" localSheetId="4" hidden="1">#REF!</definedName>
    <definedName name="_Fill" localSheetId="16" hidden="1">#REF!</definedName>
    <definedName name="_Fill" localSheetId="1" hidden="1">#REF!</definedName>
    <definedName name="_Fill" localSheetId="2" hidden="1">#REF!</definedName>
    <definedName name="_Fill" localSheetId="0" hidden="1">#REF!</definedName>
    <definedName name="_Fill" localSheetId="11" hidden="1">#REF!</definedName>
    <definedName name="_Fill" localSheetId="10" hidden="1">#REF!</definedName>
    <definedName name="_Fill" localSheetId="15" hidden="1">#REF!</definedName>
    <definedName name="_Fill" hidden="1">#REF!</definedName>
    <definedName name="_xlnm._FilterDatabase" localSheetId="4" hidden="1">#REF!</definedName>
    <definedName name="_xlnm._FilterDatabase" localSheetId="16" hidden="1">#REF!</definedName>
    <definedName name="_xlnm._FilterDatabase" localSheetId="1" hidden="1">#REF!</definedName>
    <definedName name="_xlnm._FilterDatabase" localSheetId="2" hidden="1">#REF!</definedName>
    <definedName name="_xlnm._FilterDatabase" localSheetId="0" hidden="1">#REF!</definedName>
    <definedName name="_xlnm._FilterDatabase" localSheetId="11" hidden="1">#REF!</definedName>
    <definedName name="_xlnm._FilterDatabase" localSheetId="10" hidden="1">#REF!</definedName>
    <definedName name="_xlnm._FilterDatabase" localSheetId="15" hidden="1">#REF!</definedName>
    <definedName name="_xlnm._FilterDatabase" hidden="1">#REF!</definedName>
    <definedName name="_Key1" hidden="1">#REF!</definedName>
    <definedName name="_Key2" hidden="1">#REF!</definedName>
    <definedName name="_Order1" hidden="1">255</definedName>
    <definedName name="_Order2" hidden="1">255</definedName>
    <definedName name="_Sort" hidden="1">#REF!</definedName>
    <definedName name="_Table1_In1" hidden="1">#REF!</definedName>
    <definedName name="_Table1_Out" hidden="1">#REF!</definedName>
    <definedName name="_Table2_In1" hidden="1">#REF!</definedName>
    <definedName name="_Table2_Out" hidden="1">#REF!</definedName>
    <definedName name="AAA" localSheetId="4" hidden="1">{#N/A,#N/A,FALSE,"SYSOC";#N/A,#N/A,FALSE,"RESU-GESTION";#N/A,#N/A,FALSE,"EVOL-MNA";#N/A,#N/A,FALSE,"VTAS-ANALI";#N/A,#N/A,FALSE,"ANALI-GSFIJOS";#N/A,#N/A,FALSE,"DETA-RUBROS";#N/A,#N/A,FALSE,"ANALI-CNF";#N/A,#N/A,FALSE,"BILAN";#N/A,#N/A,FALSE,"TAB_FIN";#N/A,#N/A,FALSE,"IND_ECO"}</definedName>
    <definedName name="AAA" localSheetId="16" hidden="1">{#N/A,#N/A,FALSE,"SYSOC";#N/A,#N/A,FALSE,"RESU-GESTION";#N/A,#N/A,FALSE,"EVOL-MNA";#N/A,#N/A,FALSE,"VTAS-ANALI";#N/A,#N/A,FALSE,"ANALI-GSFIJOS";#N/A,#N/A,FALSE,"DETA-RUBROS";#N/A,#N/A,FALSE,"ANALI-CNF";#N/A,#N/A,FALSE,"BILAN";#N/A,#N/A,FALSE,"TAB_FIN";#N/A,#N/A,FALSE,"IND_ECO"}</definedName>
    <definedName name="AAA" localSheetId="1" hidden="1">{#N/A,#N/A,FALSE,"SYSOC";#N/A,#N/A,FALSE,"RESU-GESTION";#N/A,#N/A,FALSE,"EVOL-MNA";#N/A,#N/A,FALSE,"VTAS-ANALI";#N/A,#N/A,FALSE,"ANALI-GSFIJOS";#N/A,#N/A,FALSE,"DETA-RUBROS";#N/A,#N/A,FALSE,"ANALI-CNF";#N/A,#N/A,FALSE,"BILAN";#N/A,#N/A,FALSE,"TAB_FIN";#N/A,#N/A,FALSE,"IND_ECO"}</definedName>
    <definedName name="AAA" localSheetId="2" hidden="1">{#N/A,#N/A,FALSE,"SYSOC";#N/A,#N/A,FALSE,"RESU-GESTION";#N/A,#N/A,FALSE,"EVOL-MNA";#N/A,#N/A,FALSE,"VTAS-ANALI";#N/A,#N/A,FALSE,"ANALI-GSFIJOS";#N/A,#N/A,FALSE,"DETA-RUBROS";#N/A,#N/A,FALSE,"ANALI-CNF";#N/A,#N/A,FALSE,"BILAN";#N/A,#N/A,FALSE,"TAB_FIN";#N/A,#N/A,FALSE,"IND_ECO"}</definedName>
    <definedName name="AAA" localSheetId="0" hidden="1">{#N/A,#N/A,FALSE,"SYSOC";#N/A,#N/A,FALSE,"RESU-GESTION";#N/A,#N/A,FALSE,"EVOL-MNA";#N/A,#N/A,FALSE,"VTAS-ANALI";#N/A,#N/A,FALSE,"ANALI-GSFIJOS";#N/A,#N/A,FALSE,"DETA-RUBROS";#N/A,#N/A,FALSE,"ANALI-CNF";#N/A,#N/A,FALSE,"BILAN";#N/A,#N/A,FALSE,"TAB_FIN";#N/A,#N/A,FALSE,"IND_ECO"}</definedName>
    <definedName name="AAA" localSheetId="11" hidden="1">{#N/A,#N/A,FALSE,"SYSOC";#N/A,#N/A,FALSE,"RESU-GESTION";#N/A,#N/A,FALSE,"EVOL-MNA";#N/A,#N/A,FALSE,"VTAS-ANALI";#N/A,#N/A,FALSE,"ANALI-GSFIJOS";#N/A,#N/A,FALSE,"DETA-RUBROS";#N/A,#N/A,FALSE,"ANALI-CNF";#N/A,#N/A,FALSE,"BILAN";#N/A,#N/A,FALSE,"TAB_FIN";#N/A,#N/A,FALSE,"IND_ECO"}</definedName>
    <definedName name="AAA" localSheetId="10" hidden="1">{#N/A,#N/A,FALSE,"SYSOC";#N/A,#N/A,FALSE,"RESU-GESTION";#N/A,#N/A,FALSE,"EVOL-MNA";#N/A,#N/A,FALSE,"VTAS-ANALI";#N/A,#N/A,FALSE,"ANALI-GSFIJOS";#N/A,#N/A,FALSE,"DETA-RUBROS";#N/A,#N/A,FALSE,"ANALI-CNF";#N/A,#N/A,FALSE,"BILAN";#N/A,#N/A,FALSE,"TAB_FIN";#N/A,#N/A,FALSE,"IND_ECO"}</definedName>
    <definedName name="AAA" localSheetId="15" hidden="1">{#N/A,#N/A,FALSE,"SYSOC";#N/A,#N/A,FALSE,"RESU-GESTION";#N/A,#N/A,FALSE,"EVOL-MNA";#N/A,#N/A,FALSE,"VTAS-ANALI";#N/A,#N/A,FALSE,"ANALI-GSFIJOS";#N/A,#N/A,FALSE,"DETA-RUBROS";#N/A,#N/A,FALSE,"ANALI-CNF";#N/A,#N/A,FALSE,"BILAN";#N/A,#N/A,FALSE,"TAB_FIN";#N/A,#N/A,FALSE,"IND_ECO"}</definedName>
    <definedName name="AAA" hidden="1">{#N/A,#N/A,FALSE,"SYSOC";#N/A,#N/A,FALSE,"RESU-GESTION";#N/A,#N/A,FALSE,"EVOL-MNA";#N/A,#N/A,FALSE,"VTAS-ANALI";#N/A,#N/A,FALSE,"ANALI-GSFIJOS";#N/A,#N/A,FALSE,"DETA-RUBROS";#N/A,#N/A,FALSE,"ANALI-CNF";#N/A,#N/A,FALSE,"BILAN";#N/A,#N/A,FALSE,"TAB_FIN";#N/A,#N/A,FALSE,"IND_ECO"}</definedName>
    <definedName name="AAAA" localSheetId="4" hidden="1">{#N/A,#N/A,FALSE,"SYSOC";#N/A,#N/A,FALSE,"RESU-GESTION";#N/A,#N/A,FALSE,"EVOL-MNA";#N/A,#N/A,FALSE,"VTAS-ANALI";#N/A,#N/A,FALSE,"ANALI-GSFIJOS";#N/A,#N/A,FALSE,"DETA-RUBROS";#N/A,#N/A,FALSE,"ANALI-CNF";#N/A,#N/A,FALSE,"BILAN";#N/A,#N/A,FALSE,"TAB_FIN";#N/A,#N/A,FALSE,"IND_ECO"}</definedName>
    <definedName name="AAAA" localSheetId="16" hidden="1">{#N/A,#N/A,FALSE,"SYSOC";#N/A,#N/A,FALSE,"RESU-GESTION";#N/A,#N/A,FALSE,"EVOL-MNA";#N/A,#N/A,FALSE,"VTAS-ANALI";#N/A,#N/A,FALSE,"ANALI-GSFIJOS";#N/A,#N/A,FALSE,"DETA-RUBROS";#N/A,#N/A,FALSE,"ANALI-CNF";#N/A,#N/A,FALSE,"BILAN";#N/A,#N/A,FALSE,"TAB_FIN";#N/A,#N/A,FALSE,"IND_ECO"}</definedName>
    <definedName name="AAAA" localSheetId="1" hidden="1">{#N/A,#N/A,FALSE,"SYSOC";#N/A,#N/A,FALSE,"RESU-GESTION";#N/A,#N/A,FALSE,"EVOL-MNA";#N/A,#N/A,FALSE,"VTAS-ANALI";#N/A,#N/A,FALSE,"ANALI-GSFIJOS";#N/A,#N/A,FALSE,"DETA-RUBROS";#N/A,#N/A,FALSE,"ANALI-CNF";#N/A,#N/A,FALSE,"BILAN";#N/A,#N/A,FALSE,"TAB_FIN";#N/A,#N/A,FALSE,"IND_ECO"}</definedName>
    <definedName name="AAAA" localSheetId="2" hidden="1">{#N/A,#N/A,FALSE,"SYSOC";#N/A,#N/A,FALSE,"RESU-GESTION";#N/A,#N/A,FALSE,"EVOL-MNA";#N/A,#N/A,FALSE,"VTAS-ANALI";#N/A,#N/A,FALSE,"ANALI-GSFIJOS";#N/A,#N/A,FALSE,"DETA-RUBROS";#N/A,#N/A,FALSE,"ANALI-CNF";#N/A,#N/A,FALSE,"BILAN";#N/A,#N/A,FALSE,"TAB_FIN";#N/A,#N/A,FALSE,"IND_ECO"}</definedName>
    <definedName name="AAAA" localSheetId="0" hidden="1">{#N/A,#N/A,FALSE,"SYSOC";#N/A,#N/A,FALSE,"RESU-GESTION";#N/A,#N/A,FALSE,"EVOL-MNA";#N/A,#N/A,FALSE,"VTAS-ANALI";#N/A,#N/A,FALSE,"ANALI-GSFIJOS";#N/A,#N/A,FALSE,"DETA-RUBROS";#N/A,#N/A,FALSE,"ANALI-CNF";#N/A,#N/A,FALSE,"BILAN";#N/A,#N/A,FALSE,"TAB_FIN";#N/A,#N/A,FALSE,"IND_ECO"}</definedName>
    <definedName name="AAAA" localSheetId="11" hidden="1">{#N/A,#N/A,FALSE,"SYSOC";#N/A,#N/A,FALSE,"RESU-GESTION";#N/A,#N/A,FALSE,"EVOL-MNA";#N/A,#N/A,FALSE,"VTAS-ANALI";#N/A,#N/A,FALSE,"ANALI-GSFIJOS";#N/A,#N/A,FALSE,"DETA-RUBROS";#N/A,#N/A,FALSE,"ANALI-CNF";#N/A,#N/A,FALSE,"BILAN";#N/A,#N/A,FALSE,"TAB_FIN";#N/A,#N/A,FALSE,"IND_ECO"}</definedName>
    <definedName name="AAAA" localSheetId="10" hidden="1">{#N/A,#N/A,FALSE,"SYSOC";#N/A,#N/A,FALSE,"RESU-GESTION";#N/A,#N/A,FALSE,"EVOL-MNA";#N/A,#N/A,FALSE,"VTAS-ANALI";#N/A,#N/A,FALSE,"ANALI-GSFIJOS";#N/A,#N/A,FALSE,"DETA-RUBROS";#N/A,#N/A,FALSE,"ANALI-CNF";#N/A,#N/A,FALSE,"BILAN";#N/A,#N/A,FALSE,"TAB_FIN";#N/A,#N/A,FALSE,"IND_ECO"}</definedName>
    <definedName name="AAAA" localSheetId="15" hidden="1">{#N/A,#N/A,FALSE,"SYSOC";#N/A,#N/A,FALSE,"RESU-GESTION";#N/A,#N/A,FALSE,"EVOL-MNA";#N/A,#N/A,FALSE,"VTAS-ANALI";#N/A,#N/A,FALSE,"ANALI-GSFIJOS";#N/A,#N/A,FALSE,"DETA-RUBROS";#N/A,#N/A,FALSE,"ANALI-CNF";#N/A,#N/A,FALSE,"BILAN";#N/A,#N/A,FALSE,"TAB_FIN";#N/A,#N/A,FALSE,"IND_ECO"}</definedName>
    <definedName name="AAAA" hidden="1">{#N/A,#N/A,FALSE,"SYSOC";#N/A,#N/A,FALSE,"RESU-GESTION";#N/A,#N/A,FALSE,"EVOL-MNA";#N/A,#N/A,FALSE,"VTAS-ANALI";#N/A,#N/A,FALSE,"ANALI-GSFIJOS";#N/A,#N/A,FALSE,"DETA-RUBROS";#N/A,#N/A,FALSE,"ANALI-CNF";#N/A,#N/A,FALSE,"BILAN";#N/A,#N/A,FALSE,"TAB_FIN";#N/A,#N/A,FALSE,"IND_ECO"}</definedName>
    <definedName name="ADM.SRG">#REF!</definedName>
    <definedName name="ANEXO" hidden="1">{#N/A,#N/A,FALSE,"SYSOC";#N/A,#N/A,FALSE,"RESU-GESTION";#N/A,#N/A,FALSE,"EVOL-MNA";#N/A,#N/A,FALSE,"VTAS-ANALI";#N/A,#N/A,FALSE,"ANALI-GSFIJOS";#N/A,#N/A,FALSE,"DETA-RUBROS";#N/A,#N/A,FALSE,"ANALI-CNF";#N/A,#N/A,FALSE,"BILAN";#N/A,#N/A,FALSE,"TAB_FIN";#N/A,#N/A,FALSE,"IND_ECO"}</definedName>
    <definedName name="anscount" hidden="1">1</definedName>
    <definedName name="_xlnm.Print_Area" localSheetId="14">'ADM. LOCAL'!$A$1:$E$393</definedName>
    <definedName name="_xlnm.Print_Area" localSheetId="6">'CAMINHÃO BASC. URBANO'!$A$1:$G$172</definedName>
    <definedName name="_xlnm.Print_Area" localSheetId="5">'COLETA RURAL'!$A$1:$K$41</definedName>
    <definedName name="_xlnm.Print_Area" localSheetId="4">'COLETA URBANA'!$A$1:$K$62</definedName>
    <definedName name="_xlnm.Print_Area" localSheetId="8">'CRONOGRAMA DE COLETA'!$A$1:$N$41</definedName>
    <definedName name="_xlnm.Print_Area" localSheetId="16">'CRONOGRAMA FÍSICO FINANCEIRO'!$A$1:$P$15</definedName>
    <definedName name="_xlnm.Print_Area" localSheetId="1">ENCARGOS!$A$1:$B$43</definedName>
    <definedName name="_xlnm.Print_Area" localSheetId="2">EPI!$A$1:$G$349</definedName>
    <definedName name="_xlnm.Print_Area" localSheetId="0">'INF. BÁSICAS'!$A$1:$E$88</definedName>
    <definedName name="_xlnm.Print_Area" localSheetId="13">'M.O. ADM LOCAL'!$A$1:$G$66</definedName>
    <definedName name="_xlnm.Print_Area" localSheetId="9">'M.O. COLETA'!$A$1:$G$122</definedName>
    <definedName name="_xlnm.Print_Area" localSheetId="11">'RESUMO COLETA RURAL'!$A$1:$H$12</definedName>
    <definedName name="_xlnm.Print_Area" localSheetId="10">'RESUMO COLETA URB'!$A$1:$H$12</definedName>
    <definedName name="_xlnm.Print_Area" localSheetId="15">'RESUMO GLOBAL'!$A$1:$G$11</definedName>
    <definedName name="_xlnm.Print_Area" localSheetId="12">'VEÍCULO UTILITÁRIO - PICKUP'!$A$1:$G$170</definedName>
    <definedName name="BBB" localSheetId="4" hidden="1">{#N/A,#N/A,FALSE,"SYSOC";#N/A,#N/A,FALSE,"RESU-GESTION";#N/A,#N/A,FALSE,"EVOL-MNA";#N/A,#N/A,FALSE,"VTAS-ANALI";#N/A,#N/A,FALSE,"ANALI-GSFIJOS";#N/A,#N/A,FALSE,"DETA-RUBROS";#N/A,#N/A,FALSE,"ANALI-CNF";#N/A,#N/A,FALSE,"BILAN";#N/A,#N/A,FALSE,"TAB_FIN";#N/A,#N/A,FALSE,"IND_ECO"}</definedName>
    <definedName name="BBB" localSheetId="16" hidden="1">{#N/A,#N/A,FALSE,"SYSOC";#N/A,#N/A,FALSE,"RESU-GESTION";#N/A,#N/A,FALSE,"EVOL-MNA";#N/A,#N/A,FALSE,"VTAS-ANALI";#N/A,#N/A,FALSE,"ANALI-GSFIJOS";#N/A,#N/A,FALSE,"DETA-RUBROS";#N/A,#N/A,FALSE,"ANALI-CNF";#N/A,#N/A,FALSE,"BILAN";#N/A,#N/A,FALSE,"TAB_FIN";#N/A,#N/A,FALSE,"IND_ECO"}</definedName>
    <definedName name="BBB" localSheetId="1" hidden="1">{#N/A,#N/A,FALSE,"SYSOC";#N/A,#N/A,FALSE,"RESU-GESTION";#N/A,#N/A,FALSE,"EVOL-MNA";#N/A,#N/A,FALSE,"VTAS-ANALI";#N/A,#N/A,FALSE,"ANALI-GSFIJOS";#N/A,#N/A,FALSE,"DETA-RUBROS";#N/A,#N/A,FALSE,"ANALI-CNF";#N/A,#N/A,FALSE,"BILAN";#N/A,#N/A,FALSE,"TAB_FIN";#N/A,#N/A,FALSE,"IND_ECO"}</definedName>
    <definedName name="BBB" localSheetId="2" hidden="1">{#N/A,#N/A,FALSE,"SYSOC";#N/A,#N/A,FALSE,"RESU-GESTION";#N/A,#N/A,FALSE,"EVOL-MNA";#N/A,#N/A,FALSE,"VTAS-ANALI";#N/A,#N/A,FALSE,"ANALI-GSFIJOS";#N/A,#N/A,FALSE,"DETA-RUBROS";#N/A,#N/A,FALSE,"ANALI-CNF";#N/A,#N/A,FALSE,"BILAN";#N/A,#N/A,FALSE,"TAB_FIN";#N/A,#N/A,FALSE,"IND_ECO"}</definedName>
    <definedName name="BBB" localSheetId="0" hidden="1">{#N/A,#N/A,FALSE,"SYSOC";#N/A,#N/A,FALSE,"RESU-GESTION";#N/A,#N/A,FALSE,"EVOL-MNA";#N/A,#N/A,FALSE,"VTAS-ANALI";#N/A,#N/A,FALSE,"ANALI-GSFIJOS";#N/A,#N/A,FALSE,"DETA-RUBROS";#N/A,#N/A,FALSE,"ANALI-CNF";#N/A,#N/A,FALSE,"BILAN";#N/A,#N/A,FALSE,"TAB_FIN";#N/A,#N/A,FALSE,"IND_ECO"}</definedName>
    <definedName name="BBB" localSheetId="11" hidden="1">{#N/A,#N/A,FALSE,"SYSOC";#N/A,#N/A,FALSE,"RESU-GESTION";#N/A,#N/A,FALSE,"EVOL-MNA";#N/A,#N/A,FALSE,"VTAS-ANALI";#N/A,#N/A,FALSE,"ANALI-GSFIJOS";#N/A,#N/A,FALSE,"DETA-RUBROS";#N/A,#N/A,FALSE,"ANALI-CNF";#N/A,#N/A,FALSE,"BILAN";#N/A,#N/A,FALSE,"TAB_FIN";#N/A,#N/A,FALSE,"IND_ECO"}</definedName>
    <definedName name="BBB" localSheetId="10" hidden="1">{#N/A,#N/A,FALSE,"SYSOC";#N/A,#N/A,FALSE,"RESU-GESTION";#N/A,#N/A,FALSE,"EVOL-MNA";#N/A,#N/A,FALSE,"VTAS-ANALI";#N/A,#N/A,FALSE,"ANALI-GSFIJOS";#N/A,#N/A,FALSE,"DETA-RUBROS";#N/A,#N/A,FALSE,"ANALI-CNF";#N/A,#N/A,FALSE,"BILAN";#N/A,#N/A,FALSE,"TAB_FIN";#N/A,#N/A,FALSE,"IND_ECO"}</definedName>
    <definedName name="BBB" localSheetId="15" hidden="1">{#N/A,#N/A,FALSE,"SYSOC";#N/A,#N/A,FALSE,"RESU-GESTION";#N/A,#N/A,FALSE,"EVOL-MNA";#N/A,#N/A,FALSE,"VTAS-ANALI";#N/A,#N/A,FALSE,"ANALI-GSFIJOS";#N/A,#N/A,FALSE,"DETA-RUBROS";#N/A,#N/A,FALSE,"ANALI-CNF";#N/A,#N/A,FALSE,"BILAN";#N/A,#N/A,FALSE,"TAB_FIN";#N/A,#N/A,FALSE,"IND_ECO"}</definedName>
    <definedName name="BBB" hidden="1">{#N/A,#N/A,FALSE,"SYSOC";#N/A,#N/A,FALSE,"RESU-GESTION";#N/A,#N/A,FALSE,"EVOL-MNA";#N/A,#N/A,FALSE,"VTAS-ANALI";#N/A,#N/A,FALSE,"ANALI-GSFIJOS";#N/A,#N/A,FALSE,"DETA-RUBROS";#N/A,#N/A,FALSE,"ANALI-CNF";#N/A,#N/A,FALSE,"BILAN";#N/A,#N/A,FALSE,"TAB_FIN";#N/A,#N/A,FALSE,"IND_ECO"}</definedName>
    <definedName name="bdi">#REF!</definedName>
    <definedName name="BDI_LUCRO_ZERO">#REF!</definedName>
    <definedName name="Bloco" localSheetId="4" hidden="1">#REF!</definedName>
    <definedName name="Bloco" localSheetId="16" hidden="1">#REF!</definedName>
    <definedName name="Bloco" localSheetId="1" hidden="1">#REF!</definedName>
    <definedName name="Bloco" localSheetId="2" hidden="1">#REF!</definedName>
    <definedName name="Bloco" localSheetId="0" hidden="1">#REF!</definedName>
    <definedName name="Bloco" localSheetId="11" hidden="1">#REF!</definedName>
    <definedName name="Bloco" localSheetId="10" hidden="1">#REF!</definedName>
    <definedName name="Bloco" localSheetId="15" hidden="1">#REF!</definedName>
    <definedName name="Bloco" hidden="1">#REF!</definedName>
    <definedName name="Bloco2" localSheetId="16" hidden="1">#REF!</definedName>
    <definedName name="Bloco2" localSheetId="1" hidden="1">#REF!</definedName>
    <definedName name="Bloco2" localSheetId="2" hidden="1">#REF!</definedName>
    <definedName name="Bloco2" localSheetId="15" hidden="1">#REF!</definedName>
    <definedName name="Bloco2" hidden="1">#REF!</definedName>
    <definedName name="CadIns" localSheetId="16" hidden="1">#REF!</definedName>
    <definedName name="CadIns" localSheetId="1" hidden="1">#REF!</definedName>
    <definedName name="CadIns" localSheetId="2" hidden="1">#REF!</definedName>
    <definedName name="CadIns" localSheetId="15" hidden="1">#REF!</definedName>
    <definedName name="CadIns" hidden="1">#REF!</definedName>
    <definedName name="CadSrv" localSheetId="16" hidden="1">#REF!</definedName>
    <definedName name="CadSrv" localSheetId="2" hidden="1">#REF!</definedName>
    <definedName name="CadSrv" localSheetId="15" hidden="1">#REF!</definedName>
    <definedName name="CadSrv" hidden="1">#REF!</definedName>
    <definedName name="cch" hidden="1">#N/A</definedName>
    <definedName name="CdQtEqA" hidden="1">2</definedName>
    <definedName name="CdQtEqP" hidden="1">2</definedName>
    <definedName name="CdQtMoA" hidden="1">2</definedName>
    <definedName name="CdQtMoP" hidden="1">2</definedName>
    <definedName name="CdQtMpA" hidden="1">5</definedName>
    <definedName name="CdQtMpP" hidden="1">5</definedName>
    <definedName name="CdQtTrA" hidden="1">2</definedName>
    <definedName name="CdQtTrP" hidden="1">2</definedName>
    <definedName name="cenário2">#REF!</definedName>
    <definedName name="Chave" localSheetId="4" hidden="1">#REF!</definedName>
    <definedName name="Chave" localSheetId="16" hidden="1">#REF!</definedName>
    <definedName name="Chave" localSheetId="1" hidden="1">#REF!</definedName>
    <definedName name="Chave" localSheetId="2" hidden="1">#REF!</definedName>
    <definedName name="Chave" localSheetId="0" hidden="1">#REF!</definedName>
    <definedName name="Chave" localSheetId="11" hidden="1">#REF!</definedName>
    <definedName name="Chave" localSheetId="10" hidden="1">#REF!</definedName>
    <definedName name="Chave" localSheetId="15" hidden="1">#REF!</definedName>
    <definedName name="Chave" hidden="1">#REF!</definedName>
    <definedName name="Chave1" localSheetId="16" hidden="1">#REF!</definedName>
    <definedName name="Chave1" localSheetId="1" hidden="1">#REF!</definedName>
    <definedName name="Chave1" localSheetId="2" hidden="1">#REF!</definedName>
    <definedName name="Chave1" localSheetId="15" hidden="1">#REF!</definedName>
    <definedName name="Chave1" hidden="1">#REF!</definedName>
    <definedName name="Clas" localSheetId="16" hidden="1">MAX(LEN(#REF!))</definedName>
    <definedName name="Clas" localSheetId="1" hidden="1">MAX(LEN(#REF!))</definedName>
    <definedName name="Clas" localSheetId="2" hidden="1">MAX(LEN(#REF!))</definedName>
    <definedName name="Clas" localSheetId="15" hidden="1">MAX(LEN(#REF!))</definedName>
    <definedName name="Clas" hidden="1">MAX(LEN(#REF!))</definedName>
    <definedName name="Cliente" hidden="1">""</definedName>
    <definedName name="Cls" hidden="1">#N/A</definedName>
    <definedName name="Cod" localSheetId="4" hidden="1">#REF!</definedName>
    <definedName name="Cod" localSheetId="16" hidden="1">#REF!</definedName>
    <definedName name="Cod" localSheetId="1" hidden="1">#REF!</definedName>
    <definedName name="Cod" localSheetId="2" hidden="1">#REF!</definedName>
    <definedName name="Cod" localSheetId="0" hidden="1">#REF!</definedName>
    <definedName name="Cod" localSheetId="11" hidden="1">#REF!</definedName>
    <definedName name="Cod" localSheetId="10" hidden="1">#REF!</definedName>
    <definedName name="Cod" localSheetId="15" hidden="1">#REF!</definedName>
    <definedName name="Cod" hidden="1">#REF!</definedName>
    <definedName name="Codigo" localSheetId="16" hidden="1">#REF!</definedName>
    <definedName name="Codigo" localSheetId="1" hidden="1">#REF!</definedName>
    <definedName name="Codigo" localSheetId="2" hidden="1">#REF!</definedName>
    <definedName name="Codigo" localSheetId="15" hidden="1">#REF!</definedName>
    <definedName name="Codigo" hidden="1">#REF!</definedName>
    <definedName name="Coluna" localSheetId="16" hidden="1">#REF!</definedName>
    <definedName name="Coluna" localSheetId="1" hidden="1">#REF!</definedName>
    <definedName name="Coluna" localSheetId="2" hidden="1">#REF!</definedName>
    <definedName name="Coluna" localSheetId="15" hidden="1">#REF!</definedName>
    <definedName name="Coluna" hidden="1">#REF!</definedName>
    <definedName name="Comp" localSheetId="16" hidden="1">#REF!</definedName>
    <definedName name="Comp" localSheetId="2" hidden="1">#REF!</definedName>
    <definedName name="Comp" localSheetId="15" hidden="1">#REF!</definedName>
    <definedName name="Comp" hidden="1">#REF!</definedName>
    <definedName name="CpuAux" localSheetId="16" hidden="1">#REF!</definedName>
    <definedName name="CpuAux" localSheetId="2" hidden="1">#REF!</definedName>
    <definedName name="CpuAux" localSheetId="15" hidden="1">#REF!</definedName>
    <definedName name="CpuAux" hidden="1">#REF!</definedName>
    <definedName name="CPUs" localSheetId="16" hidden="1">#REF!</definedName>
    <definedName name="CPUs" localSheetId="2" hidden="1">#REF!</definedName>
    <definedName name="CPUs" localSheetId="15" hidden="1">#REF!</definedName>
    <definedName name="CPUs" hidden="1">#REF!</definedName>
    <definedName name="CRIT" localSheetId="16" hidden="1">#REF!</definedName>
    <definedName name="CRIT" localSheetId="2" hidden="1">#REF!</definedName>
    <definedName name="CRIT" localSheetId="15" hidden="1">#REF!</definedName>
    <definedName name="CRIT" hidden="1">#REF!</definedName>
    <definedName name="_xlnm.Criteria" localSheetId="16" hidden="1">#REF!</definedName>
    <definedName name="_xlnm.Criteria" localSheetId="2" hidden="1">#REF!</definedName>
    <definedName name="_xlnm.Criteria" localSheetId="15" hidden="1">#REF!</definedName>
    <definedName name="_xlnm.Criteria" hidden="1">#REF!</definedName>
    <definedName name="CunEq" localSheetId="4" hidden="1">SUM(IF(#REF! =#REF!,(#REF!)*(#REF!="EQ")))</definedName>
    <definedName name="CunEq" localSheetId="16" hidden="1">SUM(IF(#REF! =#REF!,(#REF!)*(#REF!="EQ")))</definedName>
    <definedName name="CunEq" localSheetId="1" hidden="1">SUM(IF(#REF! =#REF!,(#REF!)*(#REF!="EQ")))</definedName>
    <definedName name="CunEq" localSheetId="2" hidden="1">SUM(IF(#REF! =#REF!,(#REF!)*(#REF!="EQ")))</definedName>
    <definedName name="CunEq" localSheetId="0" hidden="1">SUM(IF(#REF! =#REF!,(#REF!)*(#REF!="EQ")))</definedName>
    <definedName name="CunEq" localSheetId="15" hidden="1">SUM(IF(#REF! =#REF!,(#REF!)*(#REF!="EQ")))</definedName>
    <definedName name="CunEq" hidden="1">SUM(IF(#REF! =#REF!,(#REF!)*(#REF!="EQ")))</definedName>
    <definedName name="CunMo" localSheetId="4" hidden="1">SUM(IF(#REF! =#REF!,(#REF!)*(#REF!="MO")))</definedName>
    <definedName name="CunMo" localSheetId="16" hidden="1">SUM(IF(#REF! =#REF!,(#REF!)*(#REF!="MO")))</definedName>
    <definedName name="CunMo" localSheetId="1" hidden="1">SUM(IF(#REF! =#REF!,(#REF!)*(#REF!="MO")))</definedName>
    <definedName name="CunMo" localSheetId="2" hidden="1">SUM(IF(#REF! =#REF!,(#REF!)*(#REF!="MO")))</definedName>
    <definedName name="CunMo" localSheetId="0" hidden="1">SUM(IF(#REF! =#REF!,(#REF!)*(#REF!="MO")))</definedName>
    <definedName name="CunMo" localSheetId="15" hidden="1">SUM(IF(#REF! =#REF!,(#REF!)*(#REF!="MO")))</definedName>
    <definedName name="CunMo" hidden="1">SUM(IF(#REF! =#REF!,(#REF!)*(#REF!="MO")))</definedName>
    <definedName name="CunMp" localSheetId="4" hidden="1">SUM(IF(#REF! =#REF!,(#REF!)*(#REF!="MP")))</definedName>
    <definedName name="CunMp" localSheetId="16" hidden="1">SUM(IF(#REF! =#REF!,(#REF!)*(#REF!="MP")))</definedName>
    <definedName name="CunMp" localSheetId="1" hidden="1">SUM(IF(#REF! =#REF!,(#REF!)*(#REF!="MP")))</definedName>
    <definedName name="CunMp" localSheetId="2" hidden="1">SUM(IF(#REF! =#REF!,(#REF!)*(#REF!="MP")))</definedName>
    <definedName name="CunMp" localSheetId="0" hidden="1">SUM(IF(#REF! =#REF!,(#REF!)*(#REF!="MP")))</definedName>
    <definedName name="CunMp" localSheetId="15" hidden="1">SUM(IF(#REF! =#REF!,(#REF!)*(#REF!="MP")))</definedName>
    <definedName name="CunMp" hidden="1">SUM(IF(#REF! =#REF!,(#REF!)*(#REF!="MP")))</definedName>
    <definedName name="depre_novo2">#REF!</definedName>
    <definedName name="DescAux" hidden="1">#N/A</definedName>
    <definedName name="DESP.FIN">#REF!</definedName>
    <definedName name="DF">#REF!</definedName>
    <definedName name="dias_mes">'INF. BÁSICAS'!$B$6</definedName>
    <definedName name="dias_seg_sex">'INF. BÁSICAS'!$B$9</definedName>
    <definedName name="DIESEL">'INF. BÁSICAS'!$B$11</definedName>
    <definedName name="EmpAux" hidden="1">""</definedName>
    <definedName name="encargos">ENCARGOS!$B$42</definedName>
    <definedName name="EQ" localSheetId="4" hidden="1">#REF!</definedName>
    <definedName name="EQ" localSheetId="16" hidden="1">#REF!</definedName>
    <definedName name="EQ" localSheetId="1" hidden="1">#REF!</definedName>
    <definedName name="EQ" localSheetId="2" hidden="1">#REF!</definedName>
    <definedName name="EQ" localSheetId="0" hidden="1">#REF!</definedName>
    <definedName name="EQ" localSheetId="11" hidden="1">#REF!</definedName>
    <definedName name="EQ" localSheetId="10" hidden="1">#REF!</definedName>
    <definedName name="EQ" localSheetId="15" hidden="1">#REF!</definedName>
    <definedName name="EQ" hidden="1">#REF!</definedName>
    <definedName name="EQ_2" hidden="1">#REF!</definedName>
    <definedName name="EVOLUTION_DES_ROI" localSheetId="4" hidden="1">{#N/A,#N/A,FALSE,"SYSOC";#N/A,#N/A,FALSE,"RESU-GESTION";#N/A,#N/A,FALSE,"EVOL-MNA";#N/A,#N/A,FALSE,"VTAS-ANALI";#N/A,#N/A,FALSE,"ANALI-GSFIJOS";#N/A,#N/A,FALSE,"DETA-RUBROS";#N/A,#N/A,FALSE,"ANALI-CNF";#N/A,#N/A,FALSE,"BILAN";#N/A,#N/A,FALSE,"TAB_FIN";#N/A,#N/A,FALSE,"IND_ECO"}</definedName>
    <definedName name="EVOLUTION_DES_ROI" localSheetId="16" hidden="1">{#N/A,#N/A,FALSE,"SYSOC";#N/A,#N/A,FALSE,"RESU-GESTION";#N/A,#N/A,FALSE,"EVOL-MNA";#N/A,#N/A,FALSE,"VTAS-ANALI";#N/A,#N/A,FALSE,"ANALI-GSFIJOS";#N/A,#N/A,FALSE,"DETA-RUBROS";#N/A,#N/A,FALSE,"ANALI-CNF";#N/A,#N/A,FALSE,"BILAN";#N/A,#N/A,FALSE,"TAB_FIN";#N/A,#N/A,FALSE,"IND_ECO"}</definedName>
    <definedName name="EVOLUTION_DES_ROI" localSheetId="1" hidden="1">{#N/A,#N/A,FALSE,"SYSOC";#N/A,#N/A,FALSE,"RESU-GESTION";#N/A,#N/A,FALSE,"EVOL-MNA";#N/A,#N/A,FALSE,"VTAS-ANALI";#N/A,#N/A,FALSE,"ANALI-GSFIJOS";#N/A,#N/A,FALSE,"DETA-RUBROS";#N/A,#N/A,FALSE,"ANALI-CNF";#N/A,#N/A,FALSE,"BILAN";#N/A,#N/A,FALSE,"TAB_FIN";#N/A,#N/A,FALSE,"IND_ECO"}</definedName>
    <definedName name="EVOLUTION_DES_ROI" localSheetId="2" hidden="1">{#N/A,#N/A,FALSE,"SYSOC";#N/A,#N/A,FALSE,"RESU-GESTION";#N/A,#N/A,FALSE,"EVOL-MNA";#N/A,#N/A,FALSE,"VTAS-ANALI";#N/A,#N/A,FALSE,"ANALI-GSFIJOS";#N/A,#N/A,FALSE,"DETA-RUBROS";#N/A,#N/A,FALSE,"ANALI-CNF";#N/A,#N/A,FALSE,"BILAN";#N/A,#N/A,FALSE,"TAB_FIN";#N/A,#N/A,FALSE,"IND_ECO"}</definedName>
    <definedName name="EVOLUTION_DES_ROI" localSheetId="0" hidden="1">{#N/A,#N/A,FALSE,"SYSOC";#N/A,#N/A,FALSE,"RESU-GESTION";#N/A,#N/A,FALSE,"EVOL-MNA";#N/A,#N/A,FALSE,"VTAS-ANALI";#N/A,#N/A,FALSE,"ANALI-GSFIJOS";#N/A,#N/A,FALSE,"DETA-RUBROS";#N/A,#N/A,FALSE,"ANALI-CNF";#N/A,#N/A,FALSE,"BILAN";#N/A,#N/A,FALSE,"TAB_FIN";#N/A,#N/A,FALSE,"IND_ECO"}</definedName>
    <definedName name="EVOLUTION_DES_ROI" localSheetId="11" hidden="1">{#N/A,#N/A,FALSE,"SYSOC";#N/A,#N/A,FALSE,"RESU-GESTION";#N/A,#N/A,FALSE,"EVOL-MNA";#N/A,#N/A,FALSE,"VTAS-ANALI";#N/A,#N/A,FALSE,"ANALI-GSFIJOS";#N/A,#N/A,FALSE,"DETA-RUBROS";#N/A,#N/A,FALSE,"ANALI-CNF";#N/A,#N/A,FALSE,"BILAN";#N/A,#N/A,FALSE,"TAB_FIN";#N/A,#N/A,FALSE,"IND_ECO"}</definedName>
    <definedName name="EVOLUTION_DES_ROI" localSheetId="10" hidden="1">{#N/A,#N/A,FALSE,"SYSOC";#N/A,#N/A,FALSE,"RESU-GESTION";#N/A,#N/A,FALSE,"EVOL-MNA";#N/A,#N/A,FALSE,"VTAS-ANALI";#N/A,#N/A,FALSE,"ANALI-GSFIJOS";#N/A,#N/A,FALSE,"DETA-RUBROS";#N/A,#N/A,FALSE,"ANALI-CNF";#N/A,#N/A,FALSE,"BILAN";#N/A,#N/A,FALSE,"TAB_FIN";#N/A,#N/A,FALSE,"IND_ECO"}</definedName>
    <definedName name="EVOLUTION_DES_ROI" localSheetId="15" hidden="1">{#N/A,#N/A,FALSE,"SYSOC";#N/A,#N/A,FALSE,"RESU-GESTION";#N/A,#N/A,FALSE,"EVOL-MNA";#N/A,#N/A,FALSE,"VTAS-ANALI";#N/A,#N/A,FALSE,"ANALI-GSFIJOS";#N/A,#N/A,FALSE,"DETA-RUBROS";#N/A,#N/A,FALSE,"ANALI-CNF";#N/A,#N/A,FALSE,"BILAN";#N/A,#N/A,FALSE,"TAB_FIN";#N/A,#N/A,FALSE,"IND_ECO"}</definedName>
    <definedName name="EVOLUTION_DES_ROI" hidden="1">{#N/A,#N/A,FALSE,"SYSOC";#N/A,#N/A,FALSE,"RESU-GESTION";#N/A,#N/A,FALSE,"EVOL-MNA";#N/A,#N/A,FALSE,"VTAS-ANALI";#N/A,#N/A,FALSE,"ANALI-GSFIJOS";#N/A,#N/A,FALSE,"DETA-RUBROS";#N/A,#N/A,FALSE,"ANALI-CNF";#N/A,#N/A,FALSE,"BILAN";#N/A,#N/A,FALSE,"TAB_FIN";#N/A,#N/A,FALSE,"IND_ECO"}</definedName>
    <definedName name="GASOLINA">'INF. BÁSICAS'!$B$10</definedName>
    <definedName name="HTML_CodePage" hidden="1">1252</definedName>
    <definedName name="HTML_Control" hidden="1">{"'Índice'!$A$1:$K$49"}</definedName>
    <definedName name="HTML_Description" hidden="1">""</definedName>
    <definedName name="HTML_Email" hidden="1">""</definedName>
    <definedName name="HTML_Header" hidden="1">"Índice"</definedName>
    <definedName name="HTML_LastUpdate" hidden="1">"12/08/1999"</definedName>
    <definedName name="HTML_LineAfter" hidden="1">FALSE</definedName>
    <definedName name="HTML_LineBefore" hidden="1">FALSE</definedName>
    <definedName name="HTML_Name" hidden="1">"Rodovia das Cataratas"</definedName>
    <definedName name="HTML_OBDlg2" hidden="1">TRUE</definedName>
    <definedName name="HTML_OBDlg4" hidden="1">TRUE</definedName>
    <definedName name="HTML_OS" hidden="1">0</definedName>
    <definedName name="HTML_PathFile" hidden="1">"\\Server_1\sig\07 Julho\Informe\MeuHTML.htm"</definedName>
    <definedName name="HTML_Title" hidden="1">"Gerência de Administração e Controle de Gestão"</definedName>
    <definedName name="iiii" localSheetId="4" hidden="1">{#N/A,#N/A,FALSE,"MATERIAIS"}</definedName>
    <definedName name="iiii" localSheetId="16" hidden="1">{#N/A,#N/A,FALSE,"MATERIAIS"}</definedName>
    <definedName name="iiii" localSheetId="1" hidden="1">{#N/A,#N/A,FALSE,"MATERIAIS"}</definedName>
    <definedName name="iiii" localSheetId="2" hidden="1">{#N/A,#N/A,FALSE,"MATERIAIS"}</definedName>
    <definedName name="iiii" localSheetId="0" hidden="1">{#N/A,#N/A,FALSE,"MATERIAIS"}</definedName>
    <definedName name="iiii" localSheetId="11" hidden="1">{#N/A,#N/A,FALSE,"MATERIAIS"}</definedName>
    <definedName name="iiii" localSheetId="10" hidden="1">{#N/A,#N/A,FALSE,"MATERIAIS"}</definedName>
    <definedName name="iiii" localSheetId="15" hidden="1">{#N/A,#N/A,FALSE,"MATERIAIS"}</definedName>
    <definedName name="iiii" hidden="1">{#N/A,#N/A,FALSE,"MATERIAIS"}</definedName>
    <definedName name="IMPOSTOS">#REF!</definedName>
    <definedName name="Insumos" localSheetId="4" hidden="1">#REF!</definedName>
    <definedName name="Insumos" localSheetId="16" hidden="1">#REF!</definedName>
    <definedName name="Insumos" localSheetId="1" hidden="1">#REF!</definedName>
    <definedName name="Insumos" localSheetId="2" hidden="1">#REF!</definedName>
    <definedName name="Insumos" localSheetId="0" hidden="1">#REF!</definedName>
    <definedName name="Insumos" localSheetId="11" hidden="1">#REF!</definedName>
    <definedName name="Insumos" localSheetId="10" hidden="1">#REF!</definedName>
    <definedName name="Insumos" localSheetId="15" hidden="1">#REF!</definedName>
    <definedName name="Insumos" hidden="1">#REF!</definedName>
    <definedName name="Itens" localSheetId="16" hidden="1">#REF!</definedName>
    <definedName name="Itens" localSheetId="1" hidden="1">#REF!</definedName>
    <definedName name="Itens" localSheetId="2" hidden="1">#REF!</definedName>
    <definedName name="Itens" localSheetId="15" hidden="1">#REF!</definedName>
    <definedName name="Itens" hidden="1">#REF!</definedName>
    <definedName name="juro">#REF!</definedName>
    <definedName name="km_vias">#REF!</definedName>
    <definedName name="Kmanut2">#REF!</definedName>
    <definedName name="Local" hidden="1">""</definedName>
    <definedName name="lucro">#REF!</definedName>
    <definedName name="MAT" localSheetId="4" hidden="1">{#N/A,#N/A,FALSE,"MATERIAIS"}</definedName>
    <definedName name="MAT" localSheetId="16" hidden="1">{#N/A,#N/A,FALSE,"MATERIAIS"}</definedName>
    <definedName name="MAT" localSheetId="1" hidden="1">{#N/A,#N/A,FALSE,"MATERIAIS"}</definedName>
    <definedName name="MAT" localSheetId="2" hidden="1">{#N/A,#N/A,FALSE,"MATERIAIS"}</definedName>
    <definedName name="MAT" localSheetId="0" hidden="1">{#N/A,#N/A,FALSE,"MATERIAIS"}</definedName>
    <definedName name="MAT" localSheetId="11" hidden="1">{#N/A,#N/A,FALSE,"MATERIAIS"}</definedName>
    <definedName name="MAT" localSheetId="10" hidden="1">{#N/A,#N/A,FALSE,"MATERIAIS"}</definedName>
    <definedName name="MAT" localSheetId="15" hidden="1">{#N/A,#N/A,FALSE,"MATERIAIS"}</definedName>
    <definedName name="MAT" hidden="1">{#N/A,#N/A,FALSE,"MATERIAIS"}</definedName>
    <definedName name="Max" hidden="1">COUNTIF(#REF!,"&lt;&gt;0")+3</definedName>
    <definedName name="Máximo" hidden="1">{"'Índice'!$A$1:$K$49"}</definedName>
    <definedName name="MO" localSheetId="4" hidden="1">#REF!</definedName>
    <definedName name="MO" localSheetId="16" hidden="1">#REF!</definedName>
    <definedName name="MO" localSheetId="1" hidden="1">#REF!</definedName>
    <definedName name="MO" localSheetId="2" hidden="1">#REF!</definedName>
    <definedName name="MO" localSheetId="0" hidden="1">#REF!</definedName>
    <definedName name="MO" localSheetId="11" hidden="1">#REF!</definedName>
    <definedName name="MO" localSheetId="10" hidden="1">#REF!</definedName>
    <definedName name="MO" localSheetId="15" hidden="1">#REF!</definedName>
    <definedName name="MO" hidden="1">#REF!</definedName>
    <definedName name="Modelo" localSheetId="16" hidden="1">#REF!</definedName>
    <definedName name="Modelo" localSheetId="1" hidden="1">#REF!</definedName>
    <definedName name="Modelo" localSheetId="2" hidden="1">#REF!</definedName>
    <definedName name="Modelo" localSheetId="15" hidden="1">#REF!</definedName>
    <definedName name="Modelo" hidden="1">#REF!</definedName>
    <definedName name="MP" localSheetId="16" hidden="1">#REF!</definedName>
    <definedName name="MP" localSheetId="2" hidden="1">#REF!</definedName>
    <definedName name="MP" localSheetId="15" hidden="1">#REF!</definedName>
    <definedName name="MP" hidden="1">#REF!</definedName>
    <definedName name="NLEq" hidden="1">4</definedName>
    <definedName name="NLMo" hidden="1">6</definedName>
    <definedName name="NLMp" hidden="1">5</definedName>
    <definedName name="NLTr" hidden="1">3</definedName>
    <definedName name="Obra" hidden="1">""</definedName>
    <definedName name="OnOff" hidden="1">"ON"</definedName>
    <definedName name="Ordem" localSheetId="4" hidden="1">#REF!</definedName>
    <definedName name="Ordem" localSheetId="16" hidden="1">#REF!</definedName>
    <definedName name="Ordem" localSheetId="1" hidden="1">#REF!</definedName>
    <definedName name="Ordem" localSheetId="2" hidden="1">#REF!</definedName>
    <definedName name="Ordem" localSheetId="0" hidden="1">#REF!</definedName>
    <definedName name="Ordem" localSheetId="11" hidden="1">#REF!</definedName>
    <definedName name="Ordem" localSheetId="10" hidden="1">#REF!</definedName>
    <definedName name="Ordem" localSheetId="15" hidden="1">#REF!</definedName>
    <definedName name="Ordem" hidden="1">#REF!</definedName>
    <definedName name="Origem" localSheetId="16" hidden="1">#REF!</definedName>
    <definedName name="Origem" localSheetId="1" hidden="1">#REF!</definedName>
    <definedName name="Origem" localSheetId="2" hidden="1">#REF!</definedName>
    <definedName name="Origem" localSheetId="15" hidden="1">#REF!</definedName>
    <definedName name="Origem" hidden="1">#REF!</definedName>
    <definedName name="plan" localSheetId="4" hidden="1">{#N/A,#N/A,FALSE,"EQUIPAMENTOS"}</definedName>
    <definedName name="plan" localSheetId="16" hidden="1">{#N/A,#N/A,FALSE,"EQUIPAMENTOS"}</definedName>
    <definedName name="plan" localSheetId="1" hidden="1">{#N/A,#N/A,FALSE,"EQUIPAMENTOS"}</definedName>
    <definedName name="plan" localSheetId="2" hidden="1">{#N/A,#N/A,FALSE,"EQUIPAMENTOS"}</definedName>
    <definedName name="plan" localSheetId="0" hidden="1">{#N/A,#N/A,FALSE,"EQUIPAMENTOS"}</definedName>
    <definedName name="plan" localSheetId="11" hidden="1">{#N/A,#N/A,FALSE,"EQUIPAMENTOS"}</definedName>
    <definedName name="plan" localSheetId="10" hidden="1">{#N/A,#N/A,FALSE,"EQUIPAMENTOS"}</definedName>
    <definedName name="plan" localSheetId="15" hidden="1">{#N/A,#N/A,FALSE,"EQUIPAMENTOS"}</definedName>
    <definedName name="plan" hidden="1">{#N/A,#N/A,FALSE,"EQUIPAMENTOS"}</definedName>
    <definedName name="Plan1" localSheetId="4" hidden="1">#REF!</definedName>
    <definedName name="Plan1" localSheetId="16" hidden="1">#REF!</definedName>
    <definedName name="Plan1" localSheetId="1" hidden="1">#REF!</definedName>
    <definedName name="Plan1" localSheetId="2" hidden="1">#REF!</definedName>
    <definedName name="Plan1" localSheetId="0" hidden="1">#REF!</definedName>
    <definedName name="Plan1" localSheetId="11" hidden="1">#REF!</definedName>
    <definedName name="Plan1" localSheetId="10" hidden="1">#REF!</definedName>
    <definedName name="Plan1" localSheetId="15" hidden="1">#REF!</definedName>
    <definedName name="Plan1" hidden="1">#REF!</definedName>
    <definedName name="Posição" localSheetId="16" hidden="1">#REF!</definedName>
    <definedName name="Posição" localSheetId="1" hidden="1">#REF!</definedName>
    <definedName name="Posição" localSheetId="2" hidden="1">#REF!</definedName>
    <definedName name="Posição" localSheetId="15" hidden="1">#REF!</definedName>
    <definedName name="Posição" hidden="1">#REF!</definedName>
    <definedName name="Prd" hidden="1">#N/A</definedName>
    <definedName name="PrdAux" hidden="1">#N/A</definedName>
    <definedName name="produtividade">#REF!</definedName>
    <definedName name="QD" localSheetId="4" hidden="1">#REF!</definedName>
    <definedName name="QD" localSheetId="16" hidden="1">#REF!</definedName>
    <definedName name="QD" localSheetId="1" hidden="1">#REF!</definedName>
    <definedName name="QD" localSheetId="2" hidden="1">#REF!</definedName>
    <definedName name="QD" localSheetId="0" hidden="1">#REF!</definedName>
    <definedName name="QD" localSheetId="11" hidden="1">#REF!</definedName>
    <definedName name="QD" localSheetId="10" hidden="1">#REF!</definedName>
    <definedName name="QD" localSheetId="15" hidden="1">#REF!</definedName>
    <definedName name="QD" hidden="1">#REF!</definedName>
    <definedName name="QTD" localSheetId="16" hidden="1">#REF!</definedName>
    <definedName name="QTD" localSheetId="1" hidden="1">#REF!</definedName>
    <definedName name="QTD" localSheetId="2" hidden="1">#REF!</definedName>
    <definedName name="QTD" localSheetId="15" hidden="1">#REF!</definedName>
    <definedName name="QTD" hidden="1">#REF!</definedName>
    <definedName name="QtEq" localSheetId="16" hidden="1">#REF!</definedName>
    <definedName name="QtEq" localSheetId="1" hidden="1">#REF!</definedName>
    <definedName name="QtEq" localSheetId="2" hidden="1">#REF!</definedName>
    <definedName name="QtEq" localSheetId="15" hidden="1">#REF!</definedName>
    <definedName name="QtEq" hidden="1">#REF!</definedName>
    <definedName name="QtMo" localSheetId="16" hidden="1">#REF!</definedName>
    <definedName name="QtMo" localSheetId="2" hidden="1">#REF!</definedName>
    <definedName name="QtMo" localSheetId="15" hidden="1">#REF!</definedName>
    <definedName name="QtMo" hidden="1">#REF!</definedName>
    <definedName name="QtMp" localSheetId="16" hidden="1">#REF!</definedName>
    <definedName name="QtMp" localSheetId="2" hidden="1">#REF!</definedName>
    <definedName name="QtMp" localSheetId="15" hidden="1">#REF!</definedName>
    <definedName name="QtMp" hidden="1">#REF!</definedName>
    <definedName name="QtTr" localSheetId="16" hidden="1">#REF!</definedName>
    <definedName name="QtTr" localSheetId="2" hidden="1">#REF!</definedName>
    <definedName name="QtTr" localSheetId="15" hidden="1">#REF!</definedName>
    <definedName name="QtTr" hidden="1">#REF!</definedName>
    <definedName name="REAJUSTE">'INF. BÁSICAS'!#REF!</definedName>
    <definedName name="Relat" localSheetId="16" hidden="1">#REF!</definedName>
    <definedName name="Relat" localSheetId="2" hidden="1">#REF!</definedName>
    <definedName name="Relat" localSheetId="15" hidden="1">#REF!</definedName>
    <definedName name="Relat" hidden="1">#REF!</definedName>
    <definedName name="RRR" hidden="1">{#N/A,#N/A,FALSE,"SYSOC";#N/A,#N/A,FALSE,"RESU-GESTION";#N/A,#N/A,FALSE,"EVOL-MNA";#N/A,#N/A,FALSE,"VTAS-ANALI";#N/A,#N/A,FALSE,"ANALI-GSFIJOS";#N/A,#N/A,FALSE,"DETA-RUBROS";#N/A,#N/A,FALSE,"ANALI-CNF";#N/A,#N/A,FALSE,"BILAN";#N/A,#N/A,FALSE,"TAB_FIN";#N/A,#N/A,FALSE,"IND_ECO"}</definedName>
    <definedName name="SE" localSheetId="4" hidden="1">#REF!</definedName>
    <definedName name="SE" localSheetId="16" hidden="1">#REF!</definedName>
    <definedName name="SE" localSheetId="2" hidden="1">#REF!</definedName>
    <definedName name="SE" localSheetId="0" hidden="1">#REF!</definedName>
    <definedName name="SE" localSheetId="11" hidden="1">#REF!</definedName>
    <definedName name="SE" localSheetId="10" hidden="1">#REF!</definedName>
    <definedName name="SE" localSheetId="15" hidden="1">#REF!</definedName>
    <definedName name="SE" hidden="1">#REF!</definedName>
    <definedName name="SELIC">'INF. BÁSICAS'!$B$14</definedName>
    <definedName name="semanas_mês">'COLETA URBANA'!$C$4</definedName>
    <definedName name="sencount" hidden="1">1</definedName>
    <definedName name="solve" localSheetId="4" hidden="1">#REF!</definedName>
    <definedName name="solve" localSheetId="16" hidden="1">#REF!</definedName>
    <definedName name="solve" localSheetId="2" hidden="1">#REF!</definedName>
    <definedName name="solve" localSheetId="0" hidden="1">#REF!</definedName>
    <definedName name="solve" localSheetId="11" hidden="1">#REF!</definedName>
    <definedName name="solve" localSheetId="10" hidden="1">#REF!</definedName>
    <definedName name="solve" localSheetId="15" hidden="1">#REF!</definedName>
    <definedName name="solve" hidden="1">#REF!</definedName>
    <definedName name="solver_cvg" hidden="1">0.001</definedName>
    <definedName name="solver_drv" hidden="1">1</definedName>
    <definedName name="solver_est" hidden="1">1</definedName>
    <definedName name="solver_itr" hidden="1">100</definedName>
    <definedName name="solver_lin" hidden="1">0</definedName>
    <definedName name="solver_neg" hidden="1">2</definedName>
    <definedName name="solver_num" hidden="1">0</definedName>
    <definedName name="solver_nwt" hidden="1">1</definedName>
    <definedName name="solver_opt" localSheetId="4" hidden="1">#REF!</definedName>
    <definedName name="solver_opt" localSheetId="16" hidden="1">#REF!</definedName>
    <definedName name="solver_opt" localSheetId="1" hidden="1">#REF!</definedName>
    <definedName name="solver_opt" localSheetId="2" hidden="1">#REF!</definedName>
    <definedName name="solver_opt" localSheetId="0" hidden="1">#REF!</definedName>
    <definedName name="solver_opt" localSheetId="11" hidden="1">#REF!</definedName>
    <definedName name="solver_opt" localSheetId="10" hidden="1">#REF!</definedName>
    <definedName name="solver_opt" localSheetId="15" hidden="1">#REF!</definedName>
    <definedName name="solver_opt" hidden="1">#REF!</definedName>
    <definedName name="solver_pre" hidden="1">0.000001</definedName>
    <definedName name="solver_scl" hidden="1">2</definedName>
    <definedName name="solver_sho" hidden="1">2</definedName>
    <definedName name="solver_tim" hidden="1">100</definedName>
    <definedName name="solver_tmp" localSheetId="16" hidden="1">#REF!</definedName>
    <definedName name="solver_tmp" localSheetId="1" hidden="1">#REF!</definedName>
    <definedName name="solver_tmp" localSheetId="2" hidden="1">#REF!</definedName>
    <definedName name="solver_tmp" localSheetId="15" hidden="1">#REF!</definedName>
    <definedName name="solver_tmp" hidden="1">#REF!</definedName>
    <definedName name="solver_tol" hidden="1">0.05</definedName>
    <definedName name="solver_typ" hidden="1">1</definedName>
    <definedName name="solver_val" hidden="1">0</definedName>
    <definedName name="SRV" localSheetId="4" hidden="1">#REF!</definedName>
    <definedName name="SRV" localSheetId="16" hidden="1">#REF!</definedName>
    <definedName name="SRV" localSheetId="1" hidden="1">#REF!</definedName>
    <definedName name="SRV" localSheetId="2" hidden="1">#REF!</definedName>
    <definedName name="SRV" localSheetId="0" hidden="1">#REF!</definedName>
    <definedName name="SRV" localSheetId="11" hidden="1">#REF!</definedName>
    <definedName name="SRV" localSheetId="10" hidden="1">#REF!</definedName>
    <definedName name="SRV" localSheetId="15" hidden="1">#REF!</definedName>
    <definedName name="SRV" hidden="1">#REF!</definedName>
    <definedName name="TOT" localSheetId="16" hidden="1">#REF!</definedName>
    <definedName name="TOT" localSheetId="1" hidden="1">#REF!</definedName>
    <definedName name="TOT" localSheetId="2" hidden="1">#REF!</definedName>
    <definedName name="TOT" localSheetId="15" hidden="1">#REF!</definedName>
    <definedName name="TOT" hidden="1">#REF!</definedName>
    <definedName name="TOTAL">#REF!</definedName>
    <definedName name="Toto" localSheetId="4" hidden="1">{#N/A,#N/A,FALSE,"SYSOC";#N/A,#N/A,FALSE,"RESU-GESTION";#N/A,#N/A,FALSE,"EVOL-MNA";#N/A,#N/A,FALSE,"VTAS-ANALI";#N/A,#N/A,FALSE,"ANALI-GSFIJOS";#N/A,#N/A,FALSE,"DETA-RUBROS";#N/A,#N/A,FALSE,"ANALI-CNF";#N/A,#N/A,FALSE,"BILAN";#N/A,#N/A,FALSE,"TAB_FIN";#N/A,#N/A,FALSE,"IND_ECO"}</definedName>
    <definedName name="Toto" localSheetId="16" hidden="1">{#N/A,#N/A,FALSE,"SYSOC";#N/A,#N/A,FALSE,"RESU-GESTION";#N/A,#N/A,FALSE,"EVOL-MNA";#N/A,#N/A,FALSE,"VTAS-ANALI";#N/A,#N/A,FALSE,"ANALI-GSFIJOS";#N/A,#N/A,FALSE,"DETA-RUBROS";#N/A,#N/A,FALSE,"ANALI-CNF";#N/A,#N/A,FALSE,"BILAN";#N/A,#N/A,FALSE,"TAB_FIN";#N/A,#N/A,FALSE,"IND_ECO"}</definedName>
    <definedName name="Toto" localSheetId="1" hidden="1">{#N/A,#N/A,FALSE,"SYSOC";#N/A,#N/A,FALSE,"RESU-GESTION";#N/A,#N/A,FALSE,"EVOL-MNA";#N/A,#N/A,FALSE,"VTAS-ANALI";#N/A,#N/A,FALSE,"ANALI-GSFIJOS";#N/A,#N/A,FALSE,"DETA-RUBROS";#N/A,#N/A,FALSE,"ANALI-CNF";#N/A,#N/A,FALSE,"BILAN";#N/A,#N/A,FALSE,"TAB_FIN";#N/A,#N/A,FALSE,"IND_ECO"}</definedName>
    <definedName name="Toto" localSheetId="2" hidden="1">{#N/A,#N/A,FALSE,"SYSOC";#N/A,#N/A,FALSE,"RESU-GESTION";#N/A,#N/A,FALSE,"EVOL-MNA";#N/A,#N/A,FALSE,"VTAS-ANALI";#N/A,#N/A,FALSE,"ANALI-GSFIJOS";#N/A,#N/A,FALSE,"DETA-RUBROS";#N/A,#N/A,FALSE,"ANALI-CNF";#N/A,#N/A,FALSE,"BILAN";#N/A,#N/A,FALSE,"TAB_FIN";#N/A,#N/A,FALSE,"IND_ECO"}</definedName>
    <definedName name="Toto" localSheetId="0" hidden="1">{#N/A,#N/A,FALSE,"SYSOC";#N/A,#N/A,FALSE,"RESU-GESTION";#N/A,#N/A,FALSE,"EVOL-MNA";#N/A,#N/A,FALSE,"VTAS-ANALI";#N/A,#N/A,FALSE,"ANALI-GSFIJOS";#N/A,#N/A,FALSE,"DETA-RUBROS";#N/A,#N/A,FALSE,"ANALI-CNF";#N/A,#N/A,FALSE,"BILAN";#N/A,#N/A,FALSE,"TAB_FIN";#N/A,#N/A,FALSE,"IND_ECO"}</definedName>
    <definedName name="Toto" localSheetId="11" hidden="1">{#N/A,#N/A,FALSE,"SYSOC";#N/A,#N/A,FALSE,"RESU-GESTION";#N/A,#N/A,FALSE,"EVOL-MNA";#N/A,#N/A,FALSE,"VTAS-ANALI";#N/A,#N/A,FALSE,"ANALI-GSFIJOS";#N/A,#N/A,FALSE,"DETA-RUBROS";#N/A,#N/A,FALSE,"ANALI-CNF";#N/A,#N/A,FALSE,"BILAN";#N/A,#N/A,FALSE,"TAB_FIN";#N/A,#N/A,FALSE,"IND_ECO"}</definedName>
    <definedName name="Toto" localSheetId="10" hidden="1">{#N/A,#N/A,FALSE,"SYSOC";#N/A,#N/A,FALSE,"RESU-GESTION";#N/A,#N/A,FALSE,"EVOL-MNA";#N/A,#N/A,FALSE,"VTAS-ANALI";#N/A,#N/A,FALSE,"ANALI-GSFIJOS";#N/A,#N/A,FALSE,"DETA-RUBROS";#N/A,#N/A,FALSE,"ANALI-CNF";#N/A,#N/A,FALSE,"BILAN";#N/A,#N/A,FALSE,"TAB_FIN";#N/A,#N/A,FALSE,"IND_ECO"}</definedName>
    <definedName name="Toto" localSheetId="15" hidden="1">{#N/A,#N/A,FALSE,"SYSOC";#N/A,#N/A,FALSE,"RESU-GESTION";#N/A,#N/A,FALSE,"EVOL-MNA";#N/A,#N/A,FALSE,"VTAS-ANALI";#N/A,#N/A,FALSE,"ANALI-GSFIJOS";#N/A,#N/A,FALSE,"DETA-RUBROS";#N/A,#N/A,FALSE,"ANALI-CNF";#N/A,#N/A,FALSE,"BILAN";#N/A,#N/A,FALSE,"TAB_FIN";#N/A,#N/A,FALSE,"IND_ECO"}</definedName>
    <definedName name="Toto" hidden="1">{#N/A,#N/A,FALSE,"SYSOC";#N/A,#N/A,FALSE,"RESU-GESTION";#N/A,#N/A,FALSE,"EVOL-MNA";#N/A,#N/A,FALSE,"VTAS-ANALI";#N/A,#N/A,FALSE,"ANALI-GSFIJOS";#N/A,#N/A,FALSE,"DETA-RUBROS";#N/A,#N/A,FALSE,"ANALI-CNF";#N/A,#N/A,FALSE,"BILAN";#N/A,#N/A,FALSE,"TAB_FIN";#N/A,#N/A,FALSE,"IND_ECO"}</definedName>
    <definedName name="un" hidden="1">#N/A</definedName>
    <definedName name="UnidAux" hidden="1">#N/A</definedName>
    <definedName name="wrn.COLETAS._.DE._.EQUIPAMENTOS." localSheetId="4" hidden="1">{#N/A,#N/A,FALSE,"EQUIPAMENTOS"}</definedName>
    <definedName name="wrn.COLETAS._.DE._.EQUIPAMENTOS." localSheetId="16" hidden="1">{#N/A,#N/A,FALSE,"EQUIPAMENTOS"}</definedName>
    <definedName name="wrn.COLETAS._.DE._.EQUIPAMENTOS." localSheetId="1" hidden="1">{#N/A,#N/A,FALSE,"EQUIPAMENTOS"}</definedName>
    <definedName name="wrn.COLETAS._.DE._.EQUIPAMENTOS." localSheetId="2" hidden="1">{#N/A,#N/A,FALSE,"EQUIPAMENTOS"}</definedName>
    <definedName name="wrn.COLETAS._.DE._.EQUIPAMENTOS." localSheetId="0" hidden="1">{#N/A,#N/A,FALSE,"EQUIPAMENTOS"}</definedName>
    <definedName name="wrn.COLETAS._.DE._.EQUIPAMENTOS." localSheetId="11" hidden="1">{#N/A,#N/A,FALSE,"EQUIPAMENTOS"}</definedName>
    <definedName name="wrn.COLETAS._.DE._.EQUIPAMENTOS." localSheetId="10" hidden="1">{#N/A,#N/A,FALSE,"EQUIPAMENTOS"}</definedName>
    <definedName name="wrn.COLETAS._.DE._.EQUIPAMENTOS." localSheetId="15" hidden="1">{#N/A,#N/A,FALSE,"EQUIPAMENTOS"}</definedName>
    <definedName name="wrn.COLETAS._.DE._.EQUIPAMENTOS." hidden="1">{#N/A,#N/A,FALSE,"EQUIPAMENTOS"}</definedName>
    <definedName name="wrn.COLETAS._.DE._.MATERIAIS." localSheetId="4" hidden="1">{#N/A,#N/A,FALSE,"SOTREQ"}</definedName>
    <definedName name="wrn.COLETAS._.DE._.MATERIAIS." localSheetId="16" hidden="1">{#N/A,#N/A,FALSE,"SOTREQ"}</definedName>
    <definedName name="wrn.COLETAS._.DE._.MATERIAIS." localSheetId="1" hidden="1">{#N/A,#N/A,FALSE,"SOTREQ"}</definedName>
    <definedName name="wrn.COLETAS._.DE._.MATERIAIS." localSheetId="2" hidden="1">{#N/A,#N/A,FALSE,"SOTREQ"}</definedName>
    <definedName name="wrn.COLETAS._.DE._.MATERIAIS." localSheetId="0" hidden="1">{#N/A,#N/A,FALSE,"SOTREQ"}</definedName>
    <definedName name="wrn.COLETAS._.DE._.MATERIAIS." localSheetId="11" hidden="1">{#N/A,#N/A,FALSE,"SOTREQ"}</definedName>
    <definedName name="wrn.COLETAS._.DE._.MATERIAIS." localSheetId="10" hidden="1">{#N/A,#N/A,FALSE,"SOTREQ"}</definedName>
    <definedName name="wrn.COLETAS._.DE._.MATERIAIS." localSheetId="15" hidden="1">{#N/A,#N/A,FALSE,"SOTREQ"}</definedName>
    <definedName name="wrn.COLETAS._.DE._.MATERIAIS." hidden="1">{#N/A,#N/A,FALSE,"SOTREQ"}</definedName>
    <definedName name="wrn.COMP._.EQUIP." localSheetId="4" hidden="1">{#N/A,#N/A,FALSE,"EQUIPAMENTOS"}</definedName>
    <definedName name="wrn.COMP._.EQUIP." localSheetId="16" hidden="1">{#N/A,#N/A,FALSE,"EQUIPAMENTOS"}</definedName>
    <definedName name="wrn.COMP._.EQUIP." localSheetId="1" hidden="1">{#N/A,#N/A,FALSE,"EQUIPAMENTOS"}</definedName>
    <definedName name="wrn.COMP._.EQUIP." localSheetId="2" hidden="1">{#N/A,#N/A,FALSE,"EQUIPAMENTOS"}</definedName>
    <definedName name="wrn.COMP._.EQUIP." localSheetId="0" hidden="1">{#N/A,#N/A,FALSE,"EQUIPAMENTOS"}</definedName>
    <definedName name="wrn.COMP._.EQUIP." localSheetId="11" hidden="1">{#N/A,#N/A,FALSE,"EQUIPAMENTOS"}</definedName>
    <definedName name="wrn.COMP._.EQUIP." localSheetId="10" hidden="1">{#N/A,#N/A,FALSE,"EQUIPAMENTOS"}</definedName>
    <definedName name="wrn.COMP._.EQUIP." localSheetId="15" hidden="1">{#N/A,#N/A,FALSE,"EQUIPAMENTOS"}</definedName>
    <definedName name="wrn.COMP._.EQUIP." hidden="1">{#N/A,#N/A,FALSE,"EQUIPAMENTOS"}</definedName>
    <definedName name="wrn.COMP._.MATERIAIS." localSheetId="4" hidden="1">{#N/A,#N/A,FALSE,"MATERIAIS"}</definedName>
    <definedName name="wrn.COMP._.MATERIAIS." localSheetId="16" hidden="1">{#N/A,#N/A,FALSE,"MATERIAIS"}</definedName>
    <definedName name="wrn.COMP._.MATERIAIS." localSheetId="1" hidden="1">{#N/A,#N/A,FALSE,"MATERIAIS"}</definedName>
    <definedName name="wrn.COMP._.MATERIAIS." localSheetId="2" hidden="1">{#N/A,#N/A,FALSE,"MATERIAIS"}</definedName>
    <definedName name="wrn.COMP._.MATERIAIS." localSheetId="0" hidden="1">{#N/A,#N/A,FALSE,"MATERIAIS"}</definedName>
    <definedName name="wrn.COMP._.MATERIAIS." localSheetId="11" hidden="1">{#N/A,#N/A,FALSE,"MATERIAIS"}</definedName>
    <definedName name="wrn.COMP._.MATERIAIS." localSheetId="10" hidden="1">{#N/A,#N/A,FALSE,"MATERIAIS"}</definedName>
    <definedName name="wrn.COMP._.MATERIAIS." localSheetId="15" hidden="1">{#N/A,#N/A,FALSE,"MATERIAIS"}</definedName>
    <definedName name="wrn.COMP._.MATERIAIS." hidden="1">{#N/A,#N/A,FALSE,"MATERIAIS"}</definedName>
    <definedName name="wrn.PNEUS." localSheetId="4" hidden="1">{#N/A,#N/A,FALSE,"EQUIPAMENTOS"}</definedName>
    <definedName name="wrn.PNEUS." localSheetId="16" hidden="1">{#N/A,#N/A,FALSE,"EQUIPAMENTOS"}</definedName>
    <definedName name="wrn.PNEUS." localSheetId="1" hidden="1">{#N/A,#N/A,FALSE,"EQUIPAMENTOS"}</definedName>
    <definedName name="wrn.PNEUS." localSheetId="2" hidden="1">{#N/A,#N/A,FALSE,"EQUIPAMENTOS"}</definedName>
    <definedName name="wrn.PNEUS." localSheetId="0" hidden="1">{#N/A,#N/A,FALSE,"EQUIPAMENTOS"}</definedName>
    <definedName name="wrn.PNEUS." localSheetId="11" hidden="1">{#N/A,#N/A,FALSE,"EQUIPAMENTOS"}</definedName>
    <definedName name="wrn.PNEUS." localSheetId="10" hidden="1">{#N/A,#N/A,FALSE,"EQUIPAMENTOS"}</definedName>
    <definedName name="wrn.PNEUS." localSheetId="15" hidden="1">{#N/A,#N/A,FALSE,"EQUIPAMENTOS"}</definedName>
    <definedName name="wrn.PNEUS." hidden="1">{#N/A,#N/A,FALSE,"EQUIPAMENTOS"}</definedName>
    <definedName name="wrn.SOCIEDAD." localSheetId="4" hidden="1">{#N/A,#N/A,FALSE,"SYSOC";#N/A,#N/A,FALSE,"RESU-GESTION";#N/A,#N/A,FALSE,"EVOL-MNA";#N/A,#N/A,FALSE,"VTAS-ANALI";#N/A,#N/A,FALSE,"ANALI-GSFIJOS";#N/A,#N/A,FALSE,"DETA-RUBROS";#N/A,#N/A,FALSE,"ANALI-CNF";#N/A,#N/A,FALSE,"BILAN";#N/A,#N/A,FALSE,"TAB_FIN";#N/A,#N/A,FALSE,"IND_ECO"}</definedName>
    <definedName name="wrn.SOCIEDAD." localSheetId="16" hidden="1">{#N/A,#N/A,FALSE,"SYSOC";#N/A,#N/A,FALSE,"RESU-GESTION";#N/A,#N/A,FALSE,"EVOL-MNA";#N/A,#N/A,FALSE,"VTAS-ANALI";#N/A,#N/A,FALSE,"ANALI-GSFIJOS";#N/A,#N/A,FALSE,"DETA-RUBROS";#N/A,#N/A,FALSE,"ANALI-CNF";#N/A,#N/A,FALSE,"BILAN";#N/A,#N/A,FALSE,"TAB_FIN";#N/A,#N/A,FALSE,"IND_ECO"}</definedName>
    <definedName name="wrn.SOCIEDAD." localSheetId="1" hidden="1">{#N/A,#N/A,FALSE,"SYSOC";#N/A,#N/A,FALSE,"RESU-GESTION";#N/A,#N/A,FALSE,"EVOL-MNA";#N/A,#N/A,FALSE,"VTAS-ANALI";#N/A,#N/A,FALSE,"ANALI-GSFIJOS";#N/A,#N/A,FALSE,"DETA-RUBROS";#N/A,#N/A,FALSE,"ANALI-CNF";#N/A,#N/A,FALSE,"BILAN";#N/A,#N/A,FALSE,"TAB_FIN";#N/A,#N/A,FALSE,"IND_ECO"}</definedName>
    <definedName name="wrn.SOCIEDAD." localSheetId="2" hidden="1">{#N/A,#N/A,FALSE,"SYSOC";#N/A,#N/A,FALSE,"RESU-GESTION";#N/A,#N/A,FALSE,"EVOL-MNA";#N/A,#N/A,FALSE,"VTAS-ANALI";#N/A,#N/A,FALSE,"ANALI-GSFIJOS";#N/A,#N/A,FALSE,"DETA-RUBROS";#N/A,#N/A,FALSE,"ANALI-CNF";#N/A,#N/A,FALSE,"BILAN";#N/A,#N/A,FALSE,"TAB_FIN";#N/A,#N/A,FALSE,"IND_ECO"}</definedName>
    <definedName name="wrn.SOCIEDAD." localSheetId="0" hidden="1">{#N/A,#N/A,FALSE,"SYSOC";#N/A,#N/A,FALSE,"RESU-GESTION";#N/A,#N/A,FALSE,"EVOL-MNA";#N/A,#N/A,FALSE,"VTAS-ANALI";#N/A,#N/A,FALSE,"ANALI-GSFIJOS";#N/A,#N/A,FALSE,"DETA-RUBROS";#N/A,#N/A,FALSE,"ANALI-CNF";#N/A,#N/A,FALSE,"BILAN";#N/A,#N/A,FALSE,"TAB_FIN";#N/A,#N/A,FALSE,"IND_ECO"}</definedName>
    <definedName name="wrn.SOCIEDAD." localSheetId="11" hidden="1">{#N/A,#N/A,FALSE,"SYSOC";#N/A,#N/A,FALSE,"RESU-GESTION";#N/A,#N/A,FALSE,"EVOL-MNA";#N/A,#N/A,FALSE,"VTAS-ANALI";#N/A,#N/A,FALSE,"ANALI-GSFIJOS";#N/A,#N/A,FALSE,"DETA-RUBROS";#N/A,#N/A,FALSE,"ANALI-CNF";#N/A,#N/A,FALSE,"BILAN";#N/A,#N/A,FALSE,"TAB_FIN";#N/A,#N/A,FALSE,"IND_ECO"}</definedName>
    <definedName name="wrn.SOCIEDAD." localSheetId="10" hidden="1">{#N/A,#N/A,FALSE,"SYSOC";#N/A,#N/A,FALSE,"RESU-GESTION";#N/A,#N/A,FALSE,"EVOL-MNA";#N/A,#N/A,FALSE,"VTAS-ANALI";#N/A,#N/A,FALSE,"ANALI-GSFIJOS";#N/A,#N/A,FALSE,"DETA-RUBROS";#N/A,#N/A,FALSE,"ANALI-CNF";#N/A,#N/A,FALSE,"BILAN";#N/A,#N/A,FALSE,"TAB_FIN";#N/A,#N/A,FALSE,"IND_ECO"}</definedName>
    <definedName name="wrn.SOCIEDAD." localSheetId="15" hidden="1">{#N/A,#N/A,FALSE,"SYSOC";#N/A,#N/A,FALSE,"RESU-GESTION";#N/A,#N/A,FALSE,"EVOL-MNA";#N/A,#N/A,FALSE,"VTAS-ANALI";#N/A,#N/A,FALSE,"ANALI-GSFIJOS";#N/A,#N/A,FALSE,"DETA-RUBROS";#N/A,#N/A,FALSE,"ANALI-CNF";#N/A,#N/A,FALSE,"BILAN";#N/A,#N/A,FALSE,"TAB_FIN";#N/A,#N/A,FALSE,"IND_ECO"}</definedName>
    <definedName name="wrn.SOCIEDAD." hidden="1">{#N/A,#N/A,FALSE,"SYSOC";#N/A,#N/A,FALSE,"RESU-GESTION";#N/A,#N/A,FALSE,"EVOL-MNA";#N/A,#N/A,FALSE,"VTAS-ANALI";#N/A,#N/A,FALSE,"ANALI-GSFIJOS";#N/A,#N/A,FALSE,"DETA-RUBROS";#N/A,#N/A,FALSE,"ANALI-CNF";#N/A,#N/A,FALSE,"BILAN";#N/A,#N/A,FALSE,"TAB_FIN";#N/A,#N/A,FALSE,"IND_ECO"}</definedName>
    <definedName name="x" localSheetId="4" hidden="1">{#N/A,#N/A,FALSE,"EQUIPAMENTOS"}</definedName>
    <definedName name="x" localSheetId="16" hidden="1">{#N/A,#N/A,FALSE,"EQUIPAMENTOS"}</definedName>
    <definedName name="x" localSheetId="1" hidden="1">{#N/A,#N/A,FALSE,"EQUIPAMENTOS"}</definedName>
    <definedName name="x" localSheetId="2" hidden="1">{#N/A,#N/A,FALSE,"EQUIPAMENTOS"}</definedName>
    <definedName name="x" localSheetId="0" hidden="1">{#N/A,#N/A,FALSE,"EQUIPAMENTOS"}</definedName>
    <definedName name="x" localSheetId="11" hidden="1">{#N/A,#N/A,FALSE,"EQUIPAMENTOS"}</definedName>
    <definedName name="x" localSheetId="10" hidden="1">{#N/A,#N/A,FALSE,"EQUIPAMENTOS"}</definedName>
    <definedName name="x" localSheetId="15" hidden="1">{#N/A,#N/A,FALSE,"EQUIPAMENTOS"}</definedName>
    <definedName name="x" hidden="1">{#N/A,#N/A,FALSE,"EQUIPAMENTOS"}</definedName>
    <definedName name="Z_6676F9E1_BF15_11D6_97E7_0080C8432A9D_.wvu.FilterData" localSheetId="4" hidden="1">#REF!</definedName>
    <definedName name="Z_6676F9E1_BF15_11D6_97E7_0080C8432A9D_.wvu.FilterData" localSheetId="16" hidden="1">#REF!</definedName>
    <definedName name="Z_6676F9E1_BF15_11D6_97E7_0080C8432A9D_.wvu.FilterData" localSheetId="1" hidden="1">#REF!</definedName>
    <definedName name="Z_6676F9E1_BF15_11D6_97E7_0080C8432A9D_.wvu.FilterData" localSheetId="2" hidden="1">#REF!</definedName>
    <definedName name="Z_6676F9E1_BF15_11D6_97E7_0080C8432A9D_.wvu.FilterData" localSheetId="0" hidden="1">#REF!</definedName>
    <definedName name="Z_6676F9E1_BF15_11D6_97E7_0080C8432A9D_.wvu.FilterData" localSheetId="11" hidden="1">#REF!</definedName>
    <definedName name="Z_6676F9E1_BF15_11D6_97E7_0080C8432A9D_.wvu.FilterData" localSheetId="10" hidden="1">#REF!</definedName>
    <definedName name="Z_6676F9E1_BF15_11D6_97E7_0080C8432A9D_.wvu.FilterData" localSheetId="15" hidden="1">#REF!</definedName>
    <definedName name="Z_6676F9E1_BF15_11D6_97E7_0080C8432A9D_.wvu.FilterData" hidden="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P13" i="72" l="1"/>
  <c r="O13" i="72"/>
  <c r="N13" i="72"/>
  <c r="M13" i="72"/>
  <c r="L13" i="72"/>
  <c r="K13" i="72"/>
  <c r="J13" i="72"/>
  <c r="I13" i="72"/>
  <c r="H13" i="72"/>
  <c r="G13" i="72"/>
  <c r="F13" i="72"/>
  <c r="E13" i="72"/>
  <c r="P12" i="72"/>
  <c r="O12" i="72"/>
  <c r="N12" i="72"/>
  <c r="M12" i="72"/>
  <c r="L12" i="72"/>
  <c r="K12" i="72"/>
  <c r="J12" i="72"/>
  <c r="I12" i="72"/>
  <c r="H12" i="72"/>
  <c r="G12" i="72"/>
  <c r="F12" i="72"/>
  <c r="E12" i="72"/>
  <c r="C12" i="72"/>
  <c r="G10" i="55"/>
  <c r="F10" i="55"/>
  <c r="E10" i="55"/>
  <c r="E391" i="12"/>
  <c r="E390" i="12"/>
  <c r="E389" i="12"/>
  <c r="E388" i="12"/>
  <c r="E387" i="12"/>
  <c r="E386" i="12"/>
  <c r="E385" i="12"/>
  <c r="E384" i="12"/>
  <c r="E383" i="12"/>
  <c r="E382" i="12"/>
  <c r="D375" i="12"/>
  <c r="B374" i="12"/>
  <c r="D291" i="12"/>
  <c r="B290" i="12"/>
  <c r="D206" i="12"/>
  <c r="B205" i="12"/>
  <c r="C83" i="12"/>
  <c r="C82" i="12"/>
  <c r="C81" i="12"/>
  <c r="C80" i="12"/>
  <c r="C79" i="12"/>
  <c r="C78" i="12"/>
  <c r="C59" i="12"/>
  <c r="C58" i="12"/>
  <c r="C57" i="12"/>
  <c r="C56" i="12"/>
  <c r="E24" i="12"/>
  <c r="E22" i="12"/>
  <c r="E21" i="12"/>
  <c r="D21" i="12"/>
  <c r="C21" i="12"/>
  <c r="E20" i="12"/>
  <c r="D20" i="12"/>
  <c r="C20" i="12"/>
  <c r="E19" i="12"/>
  <c r="D19" i="12"/>
  <c r="C19" i="12"/>
  <c r="E15" i="12"/>
  <c r="E14" i="12"/>
  <c r="D14" i="12"/>
  <c r="C14" i="12"/>
  <c r="E13" i="12"/>
  <c r="D13" i="12"/>
  <c r="C13" i="12"/>
  <c r="E12" i="12"/>
  <c r="D12" i="12"/>
  <c r="C12" i="12"/>
  <c r="E11" i="12"/>
  <c r="D11" i="12"/>
  <c r="C11" i="12"/>
  <c r="E10" i="12"/>
  <c r="D10" i="12"/>
  <c r="E9" i="12"/>
  <c r="D9" i="12"/>
  <c r="E8" i="12"/>
  <c r="D8" i="12"/>
  <c r="C8" i="12"/>
  <c r="E7" i="12"/>
  <c r="D7" i="12"/>
  <c r="C7" i="12"/>
  <c r="G66" i="58"/>
  <c r="G65" i="58"/>
  <c r="E65" i="58"/>
  <c r="G64" i="58"/>
  <c r="E64" i="58"/>
  <c r="G63" i="58"/>
  <c r="E63" i="58"/>
  <c r="G59" i="58"/>
  <c r="G57" i="58"/>
  <c r="G54" i="58"/>
  <c r="G53" i="58"/>
  <c r="G52" i="58"/>
  <c r="G51" i="58"/>
  <c r="G50" i="58"/>
  <c r="G49" i="58"/>
  <c r="G48" i="58"/>
  <c r="G47" i="58"/>
  <c r="G41" i="58"/>
  <c r="G40" i="58"/>
  <c r="E40" i="58"/>
  <c r="C40" i="58"/>
  <c r="G39" i="58"/>
  <c r="C39" i="58"/>
  <c r="G38" i="58"/>
  <c r="G37" i="58"/>
  <c r="G36" i="58"/>
  <c r="G35" i="58"/>
  <c r="G34" i="58"/>
  <c r="C34" i="58"/>
  <c r="G33" i="58"/>
  <c r="C33" i="58"/>
  <c r="G32" i="58"/>
  <c r="G31" i="58"/>
  <c r="G30" i="58"/>
  <c r="G29" i="58"/>
  <c r="E29" i="58"/>
  <c r="C29" i="58"/>
  <c r="G28" i="58"/>
  <c r="E28" i="58"/>
  <c r="G27" i="58"/>
  <c r="E27" i="58"/>
  <c r="G26" i="58"/>
  <c r="E26" i="58"/>
  <c r="G25" i="58"/>
  <c r="G24" i="58"/>
  <c r="E24" i="58"/>
  <c r="G21" i="58"/>
  <c r="G20" i="58"/>
  <c r="G19" i="58"/>
  <c r="C19" i="58"/>
  <c r="G18" i="58"/>
  <c r="G17" i="58"/>
  <c r="G16" i="58"/>
  <c r="G15" i="58"/>
  <c r="G14" i="58"/>
  <c r="C14" i="58"/>
  <c r="G13" i="58"/>
  <c r="C13" i="58"/>
  <c r="G12" i="58"/>
  <c r="G11" i="58"/>
  <c r="G10" i="58"/>
  <c r="G9" i="58"/>
  <c r="E9" i="58"/>
  <c r="C9" i="58"/>
  <c r="G8" i="58"/>
  <c r="E8" i="58"/>
  <c r="G7" i="58"/>
  <c r="E7" i="58"/>
  <c r="G6" i="58"/>
  <c r="E6" i="58"/>
  <c r="G5" i="58"/>
  <c r="E5" i="58"/>
  <c r="G4" i="58"/>
  <c r="C169" i="71"/>
  <c r="E43" i="71"/>
  <c r="E42" i="71"/>
  <c r="E41" i="71"/>
  <c r="E40" i="71"/>
  <c r="E38" i="71"/>
  <c r="E37" i="71"/>
  <c r="E36" i="71"/>
  <c r="E35" i="71"/>
  <c r="E32" i="71"/>
  <c r="E31" i="71"/>
  <c r="E30" i="71"/>
  <c r="E29" i="71"/>
  <c r="E28" i="71"/>
  <c r="E27" i="71"/>
  <c r="E25" i="71"/>
  <c r="E24" i="71"/>
  <c r="E23" i="71"/>
  <c r="E22" i="71"/>
  <c r="E21" i="71"/>
  <c r="E17" i="71"/>
  <c r="E16" i="71"/>
  <c r="E14" i="71"/>
  <c r="E13" i="71"/>
  <c r="E12" i="71"/>
  <c r="E10" i="71"/>
  <c r="E8" i="71"/>
  <c r="E6" i="71"/>
  <c r="H11" i="61"/>
  <c r="G11" i="61"/>
  <c r="F11" i="61"/>
  <c r="E11" i="61"/>
  <c r="D10" i="61"/>
  <c r="H11" i="5"/>
  <c r="G11" i="5"/>
  <c r="F11" i="5"/>
  <c r="E11" i="5"/>
  <c r="D10" i="5"/>
  <c r="E118" i="4"/>
  <c r="E117" i="4"/>
  <c r="C117" i="4"/>
  <c r="E116" i="4"/>
  <c r="C116" i="4"/>
  <c r="E115" i="4"/>
  <c r="C115" i="4"/>
  <c r="E114" i="4"/>
  <c r="C114" i="4"/>
  <c r="E110" i="4"/>
  <c r="E109" i="4"/>
  <c r="C109" i="4"/>
  <c r="E108" i="4"/>
  <c r="C108" i="4"/>
  <c r="E107" i="4"/>
  <c r="C107" i="4"/>
  <c r="E106" i="4"/>
  <c r="C106" i="4"/>
  <c r="G102" i="4"/>
  <c r="G101" i="4"/>
  <c r="E101" i="4"/>
  <c r="C101" i="4"/>
  <c r="G100" i="4"/>
  <c r="C100" i="4"/>
  <c r="G99" i="4"/>
  <c r="G98" i="4"/>
  <c r="G97" i="4"/>
  <c r="G96" i="4"/>
  <c r="G95" i="4"/>
  <c r="C95" i="4"/>
  <c r="G94" i="4"/>
  <c r="C94" i="4"/>
  <c r="G93" i="4"/>
  <c r="G92" i="4"/>
  <c r="C92" i="4"/>
  <c r="G91" i="4"/>
  <c r="G90" i="4"/>
  <c r="E90" i="4"/>
  <c r="C90" i="4"/>
  <c r="G89" i="4"/>
  <c r="E89" i="4"/>
  <c r="G88" i="4"/>
  <c r="E88" i="4"/>
  <c r="G87" i="4"/>
  <c r="E87" i="4"/>
  <c r="G86" i="4"/>
  <c r="G85" i="4"/>
  <c r="E85" i="4"/>
  <c r="G84" i="4"/>
  <c r="G81" i="4"/>
  <c r="G80" i="4"/>
  <c r="E80" i="4"/>
  <c r="C80" i="4"/>
  <c r="G79" i="4"/>
  <c r="C79" i="4"/>
  <c r="G78" i="4"/>
  <c r="G77" i="4"/>
  <c r="G76" i="4"/>
  <c r="G75" i="4"/>
  <c r="G74" i="4"/>
  <c r="C74" i="4"/>
  <c r="G73" i="4"/>
  <c r="C73" i="4"/>
  <c r="G72" i="4"/>
  <c r="G71" i="4"/>
  <c r="C71" i="4"/>
  <c r="G70" i="4"/>
  <c r="G69" i="4"/>
  <c r="E69" i="4"/>
  <c r="C69" i="4"/>
  <c r="G68" i="4"/>
  <c r="E68" i="4"/>
  <c r="C68" i="4"/>
  <c r="G67" i="4"/>
  <c r="E67" i="4"/>
  <c r="G66" i="4"/>
  <c r="E66" i="4"/>
  <c r="G65" i="4"/>
  <c r="G64" i="4"/>
  <c r="G61" i="4"/>
  <c r="G60" i="4"/>
  <c r="E60" i="4"/>
  <c r="C60" i="4"/>
  <c r="G59" i="4"/>
  <c r="C59" i="4"/>
  <c r="G58" i="4"/>
  <c r="G57" i="4"/>
  <c r="G56" i="4"/>
  <c r="G55" i="4"/>
  <c r="G54" i="4"/>
  <c r="C54" i="4"/>
  <c r="G53" i="4"/>
  <c r="C53" i="4"/>
  <c r="G52" i="4"/>
  <c r="G51" i="4"/>
  <c r="C51" i="4"/>
  <c r="G50" i="4"/>
  <c r="G49" i="4"/>
  <c r="E49" i="4"/>
  <c r="C49" i="4"/>
  <c r="G48" i="4"/>
  <c r="E48" i="4"/>
  <c r="G47" i="4"/>
  <c r="E47" i="4"/>
  <c r="G46" i="4"/>
  <c r="E46" i="4"/>
  <c r="G45" i="4"/>
  <c r="G44" i="4"/>
  <c r="G41" i="4"/>
  <c r="G40" i="4"/>
  <c r="E40" i="4"/>
  <c r="C40" i="4"/>
  <c r="G39" i="4"/>
  <c r="C39" i="4"/>
  <c r="G38" i="4"/>
  <c r="G37" i="4"/>
  <c r="G36" i="4"/>
  <c r="G35" i="4"/>
  <c r="G34" i="4"/>
  <c r="C34" i="4"/>
  <c r="G33" i="4"/>
  <c r="C33" i="4"/>
  <c r="G32" i="4"/>
  <c r="G31" i="4"/>
  <c r="C31" i="4"/>
  <c r="G30" i="4"/>
  <c r="G29" i="4"/>
  <c r="E29" i="4"/>
  <c r="C29" i="4"/>
  <c r="G28" i="4"/>
  <c r="E28" i="4"/>
  <c r="C28" i="4"/>
  <c r="G27" i="4"/>
  <c r="E27" i="4"/>
  <c r="G26" i="4"/>
  <c r="E26" i="4"/>
  <c r="G25" i="4"/>
  <c r="G24" i="4"/>
  <c r="G21" i="4"/>
  <c r="G20" i="4"/>
  <c r="E20" i="4"/>
  <c r="C20" i="4"/>
  <c r="G19" i="4"/>
  <c r="C19" i="4"/>
  <c r="G18" i="4"/>
  <c r="G17" i="4"/>
  <c r="G16" i="4"/>
  <c r="G15" i="4"/>
  <c r="G14" i="4"/>
  <c r="C14" i="4"/>
  <c r="G13" i="4"/>
  <c r="C13" i="4"/>
  <c r="G12" i="4"/>
  <c r="G11" i="4"/>
  <c r="C11" i="4"/>
  <c r="G10" i="4"/>
  <c r="G9" i="4"/>
  <c r="E9" i="4"/>
  <c r="C9" i="4"/>
  <c r="G8" i="4"/>
  <c r="E8" i="4"/>
  <c r="G7" i="4"/>
  <c r="E7" i="4"/>
  <c r="G6" i="4"/>
  <c r="E6" i="4"/>
  <c r="G5" i="4"/>
  <c r="G4" i="4"/>
  <c r="N27" i="66"/>
  <c r="M27" i="66"/>
  <c r="L27" i="66"/>
  <c r="K27" i="66"/>
  <c r="H27" i="66"/>
  <c r="F27" i="66"/>
  <c r="N22" i="66"/>
  <c r="M22" i="66"/>
  <c r="L22" i="66"/>
  <c r="J22" i="66"/>
  <c r="H22" i="66"/>
  <c r="F22" i="66"/>
  <c r="N17" i="66"/>
  <c r="M17" i="66"/>
  <c r="L17" i="66"/>
  <c r="J17" i="66"/>
  <c r="H17" i="66"/>
  <c r="F17" i="66"/>
  <c r="N12" i="66"/>
  <c r="M12" i="66"/>
  <c r="L12" i="66"/>
  <c r="K12" i="66"/>
  <c r="H12" i="66"/>
  <c r="F12" i="66"/>
  <c r="N7" i="66"/>
  <c r="M7" i="66"/>
  <c r="L7" i="66"/>
  <c r="H7" i="66"/>
  <c r="F7" i="66"/>
  <c r="N6" i="66"/>
  <c r="M6" i="66"/>
  <c r="L6" i="66"/>
  <c r="K6" i="66"/>
  <c r="J6" i="66"/>
  <c r="H6" i="66"/>
  <c r="G6" i="66"/>
  <c r="N5" i="66"/>
  <c r="M5" i="66"/>
  <c r="L5" i="66"/>
  <c r="K5" i="66"/>
  <c r="J5" i="66"/>
  <c r="H5" i="66"/>
  <c r="G5" i="66"/>
  <c r="N4" i="66"/>
  <c r="M4" i="66"/>
  <c r="L4" i="66"/>
  <c r="K4" i="66"/>
  <c r="J4" i="66"/>
  <c r="H4" i="66"/>
  <c r="N3" i="66"/>
  <c r="M3" i="66"/>
  <c r="L3" i="66"/>
  <c r="K3" i="66"/>
  <c r="J3" i="66"/>
  <c r="H3" i="66"/>
  <c r="C171" i="70"/>
  <c r="E57" i="70"/>
  <c r="E55" i="70"/>
  <c r="E53" i="70"/>
  <c r="E52" i="70"/>
  <c r="E54" i="70" s="1"/>
  <c r="E58" i="70" s="1"/>
  <c r="E59" i="70" s="1"/>
  <c r="E60" i="70" s="1"/>
  <c r="E10" i="61" s="1"/>
  <c r="E45" i="70"/>
  <c r="E44" i="70"/>
  <c r="E43" i="70"/>
  <c r="E42" i="70"/>
  <c r="E41" i="70"/>
  <c r="E40" i="70"/>
  <c r="E39" i="70"/>
  <c r="E38" i="70"/>
  <c r="E37" i="70"/>
  <c r="E34" i="70"/>
  <c r="E33" i="70"/>
  <c r="E32" i="70"/>
  <c r="E31" i="70"/>
  <c r="E30" i="70"/>
  <c r="E26" i="70"/>
  <c r="E25" i="70"/>
  <c r="E23" i="70"/>
  <c r="E22" i="70"/>
  <c r="E21" i="70"/>
  <c r="E20" i="70"/>
  <c r="E19" i="70"/>
  <c r="E16" i="70"/>
  <c r="E15" i="70"/>
  <c r="E12" i="70"/>
  <c r="E11" i="70"/>
  <c r="E8" i="70"/>
  <c r="E7" i="70"/>
  <c r="E6" i="70"/>
  <c r="C171" i="68"/>
  <c r="E57" i="68"/>
  <c r="E55" i="68"/>
  <c r="E53" i="68"/>
  <c r="E52" i="68"/>
  <c r="E54" i="68" s="1"/>
  <c r="E58" i="68" s="1"/>
  <c r="E59" i="68" s="1"/>
  <c r="E60" i="68" s="1"/>
  <c r="E10" i="5" s="1"/>
  <c r="E45" i="68"/>
  <c r="E44" i="68"/>
  <c r="E43" i="68"/>
  <c r="E42" i="68"/>
  <c r="E40" i="68"/>
  <c r="E38" i="68"/>
  <c r="E37" i="68"/>
  <c r="E34" i="68"/>
  <c r="E33" i="68"/>
  <c r="E32" i="68"/>
  <c r="E31" i="68"/>
  <c r="E30" i="68"/>
  <c r="E26" i="68"/>
  <c r="E25" i="68"/>
  <c r="E23" i="68"/>
  <c r="E22" i="68"/>
  <c r="E21" i="68"/>
  <c r="E20" i="68"/>
  <c r="E19" i="68"/>
  <c r="E16" i="68"/>
  <c r="E15" i="68"/>
  <c r="E12" i="68"/>
  <c r="E11" i="68"/>
  <c r="E8" i="68"/>
  <c r="E7" i="68"/>
  <c r="E6" i="68"/>
  <c r="D41" i="59"/>
  <c r="D40" i="59"/>
  <c r="D39" i="59"/>
  <c r="D33" i="59"/>
  <c r="D32" i="59"/>
  <c r="D29" i="59"/>
  <c r="D27" i="59"/>
  <c r="D26" i="59"/>
  <c r="D22" i="59"/>
  <c r="K17" i="59"/>
  <c r="J16" i="59"/>
  <c r="I16" i="59"/>
  <c r="H16" i="59"/>
  <c r="Q15" i="59"/>
  <c r="P15" i="59"/>
  <c r="O15" i="59"/>
  <c r="M15" i="59"/>
  <c r="K15" i="59"/>
  <c r="J15" i="59"/>
  <c r="I15" i="59"/>
  <c r="H15" i="59"/>
  <c r="D15" i="59"/>
  <c r="Q14" i="59"/>
  <c r="M14" i="59"/>
  <c r="K14" i="59"/>
  <c r="J14" i="59"/>
  <c r="H14" i="59"/>
  <c r="D14" i="59"/>
  <c r="Q13" i="59"/>
  <c r="P13" i="59"/>
  <c r="O13" i="59"/>
  <c r="K13" i="59"/>
  <c r="J13" i="59"/>
  <c r="I13" i="59"/>
  <c r="H13" i="59"/>
  <c r="D13" i="59"/>
  <c r="Q12" i="59"/>
  <c r="K12" i="59"/>
  <c r="J12" i="59"/>
  <c r="H12" i="59"/>
  <c r="D12" i="59"/>
  <c r="Q11" i="59"/>
  <c r="P11" i="59"/>
  <c r="O11" i="59"/>
  <c r="M11" i="59"/>
  <c r="K11" i="59"/>
  <c r="J11" i="59"/>
  <c r="I11" i="59"/>
  <c r="H11" i="59"/>
  <c r="D11" i="59"/>
  <c r="Q10" i="59"/>
  <c r="P10" i="59"/>
  <c r="O10" i="59"/>
  <c r="M10" i="59"/>
  <c r="K10" i="59"/>
  <c r="J10" i="59"/>
  <c r="I10" i="59"/>
  <c r="H10" i="59"/>
  <c r="D10" i="59"/>
  <c r="Q9" i="59"/>
  <c r="J9" i="59"/>
  <c r="H9" i="59"/>
  <c r="D9" i="59"/>
  <c r="Q8" i="59"/>
  <c r="J8" i="59"/>
  <c r="H8" i="59"/>
  <c r="D8" i="59"/>
  <c r="Q7" i="59"/>
  <c r="J7" i="59"/>
  <c r="H7" i="59"/>
  <c r="D7" i="59"/>
  <c r="Q6" i="59"/>
  <c r="P6" i="59"/>
  <c r="O6" i="59"/>
  <c r="M6" i="59"/>
  <c r="K6" i="59"/>
  <c r="J6" i="59"/>
  <c r="I6" i="59"/>
  <c r="H6" i="59"/>
  <c r="D6" i="59"/>
  <c r="O4" i="59"/>
  <c r="Q3" i="59"/>
  <c r="J62" i="10"/>
  <c r="I61" i="10"/>
  <c r="H61" i="10"/>
  <c r="D61" i="10"/>
  <c r="I60" i="10"/>
  <c r="H60" i="10"/>
  <c r="D60" i="10"/>
  <c r="I59" i="10"/>
  <c r="H59" i="10"/>
  <c r="D59" i="10"/>
  <c r="I58" i="10"/>
  <c r="H58" i="10"/>
  <c r="D58" i="10"/>
  <c r="I57" i="10"/>
  <c r="H57" i="10"/>
  <c r="D57" i="10"/>
  <c r="J56" i="10"/>
  <c r="I56" i="10"/>
  <c r="H56" i="10"/>
  <c r="G56" i="10"/>
  <c r="F56" i="10"/>
  <c r="D56" i="10"/>
  <c r="I55" i="10"/>
  <c r="H55" i="10"/>
  <c r="D55" i="10"/>
  <c r="I54" i="10"/>
  <c r="H54" i="10"/>
  <c r="D54" i="10"/>
  <c r="I53" i="10"/>
  <c r="H53" i="10"/>
  <c r="D53" i="10"/>
  <c r="I52" i="10"/>
  <c r="H52" i="10"/>
  <c r="D52" i="10"/>
  <c r="J51" i="10"/>
  <c r="I51" i="10"/>
  <c r="H51" i="10"/>
  <c r="D51" i="10"/>
  <c r="I50" i="10"/>
  <c r="H50" i="10"/>
  <c r="D50" i="10"/>
  <c r="I49" i="10"/>
  <c r="H49" i="10"/>
  <c r="F49" i="10"/>
  <c r="I48" i="10"/>
  <c r="H48" i="10"/>
  <c r="D48" i="10"/>
  <c r="I47" i="10"/>
  <c r="H47" i="10"/>
  <c r="D47" i="10"/>
  <c r="I46" i="10"/>
  <c r="H46" i="10"/>
  <c r="D46" i="10"/>
  <c r="J45" i="10"/>
  <c r="I45" i="10"/>
  <c r="H45" i="10"/>
  <c r="D45" i="10"/>
  <c r="I44" i="10"/>
  <c r="H44" i="10"/>
  <c r="D44" i="10"/>
  <c r="J43" i="10"/>
  <c r="I43" i="10"/>
  <c r="H43" i="10"/>
  <c r="D43" i="10"/>
  <c r="D29" i="10"/>
  <c r="D24" i="10"/>
  <c r="D23" i="10"/>
  <c r="D21" i="10"/>
  <c r="D20" i="10"/>
  <c r="D18" i="10"/>
  <c r="D19" i="10" s="1"/>
  <c r="K11" i="10"/>
  <c r="K10" i="10"/>
  <c r="K9" i="10"/>
  <c r="F9" i="10"/>
  <c r="K8" i="10"/>
  <c r="F8" i="10"/>
  <c r="K7" i="10"/>
  <c r="F7" i="10"/>
  <c r="K6" i="10"/>
  <c r="F6" i="10"/>
  <c r="C4" i="10"/>
  <c r="J23" i="74"/>
  <c r="I23" i="74"/>
  <c r="H23" i="74"/>
  <c r="F23" i="74"/>
  <c r="F22" i="74"/>
  <c r="F21" i="74"/>
  <c r="J20" i="74"/>
  <c r="I20" i="74"/>
  <c r="H20" i="74"/>
  <c r="F20" i="74"/>
  <c r="C348" i="7"/>
  <c r="C301" i="7"/>
  <c r="C256" i="7"/>
  <c r="C211" i="7"/>
  <c r="C167" i="7"/>
  <c r="C123" i="7"/>
  <c r="C77" i="7"/>
  <c r="G27" i="7"/>
  <c r="G26" i="7"/>
  <c r="G25" i="7"/>
  <c r="G24" i="7"/>
  <c r="F24" i="7"/>
  <c r="G23" i="7"/>
  <c r="F23" i="7"/>
  <c r="G22" i="7"/>
  <c r="F22" i="7"/>
  <c r="E22" i="7"/>
  <c r="G21" i="7"/>
  <c r="F21" i="7"/>
  <c r="G20" i="7"/>
  <c r="F20" i="7"/>
  <c r="G19" i="7"/>
  <c r="F19" i="7"/>
  <c r="G18" i="7"/>
  <c r="F18" i="7"/>
  <c r="G14" i="7"/>
  <c r="G13" i="7"/>
  <c r="G12" i="7"/>
  <c r="G11" i="7"/>
  <c r="F11" i="7"/>
  <c r="G10" i="7"/>
  <c r="F10" i="7"/>
  <c r="G9" i="7"/>
  <c r="F9" i="7"/>
  <c r="G8" i="7"/>
  <c r="F8" i="7"/>
  <c r="G7" i="7"/>
  <c r="F7" i="7"/>
  <c r="E7" i="7"/>
  <c r="G6" i="7"/>
  <c r="F6" i="7"/>
  <c r="G5" i="7"/>
  <c r="F5" i="7"/>
  <c r="B42" i="6"/>
  <c r="B39" i="6"/>
  <c r="B34" i="6"/>
  <c r="B26" i="6"/>
  <c r="B13" i="6"/>
  <c r="B9" i="1"/>
  <c r="B8" i="1"/>
  <c r="B7" i="1"/>
  <c r="B6" i="1"/>
  <c r="B5" i="1"/>
  <c r="D30" i="10" l="1"/>
  <c r="D31" i="10" s="1"/>
  <c r="E9" i="10"/>
  <c r="F6" i="66" s="1"/>
  <c r="E6" i="10"/>
  <c r="F3" i="66" s="1"/>
  <c r="E7" i="10"/>
  <c r="F4" i="66" s="1"/>
  <c r="E8" i="10"/>
  <c r="F5" i="66" s="1"/>
  <c r="F10" i="61"/>
  <c r="G10" i="61" s="1"/>
  <c r="E9" i="55"/>
  <c r="F9" i="55" s="1"/>
  <c r="G9" i="55" s="1"/>
  <c r="C10" i="72" s="1"/>
  <c r="E8" i="55"/>
  <c r="F8" i="55" s="1"/>
  <c r="F10" i="5"/>
  <c r="G10" i="5" s="1"/>
  <c r="D35" i="10" l="1"/>
  <c r="D36" i="10"/>
  <c r="G12" i="61"/>
  <c r="H10" i="61"/>
  <c r="H12" i="61" s="1"/>
  <c r="M11" i="72"/>
  <c r="M10" i="72" s="1"/>
  <c r="I11" i="72"/>
  <c r="I10" i="72" s="1"/>
  <c r="E11" i="72"/>
  <c r="E10" i="72" s="1"/>
  <c r="O11" i="72"/>
  <c r="O10" i="72" s="1"/>
  <c r="G11" i="72"/>
  <c r="G10" i="72" s="1"/>
  <c r="P11" i="72"/>
  <c r="P10" i="72" s="1"/>
  <c r="L11" i="72"/>
  <c r="L10" i="72" s="1"/>
  <c r="H11" i="72"/>
  <c r="H10" i="72" s="1"/>
  <c r="K11" i="72"/>
  <c r="K10" i="72" s="1"/>
  <c r="N11" i="72"/>
  <c r="N10" i="72" s="1"/>
  <c r="J11" i="72"/>
  <c r="J10" i="72" s="1"/>
  <c r="F11" i="72"/>
  <c r="F10" i="72" s="1"/>
  <c r="G12" i="5"/>
  <c r="H10" i="5"/>
  <c r="H12" i="5" s="1"/>
  <c r="G8" i="55"/>
  <c r="F11" i="55"/>
  <c r="D39" i="10" l="1"/>
  <c r="D38" i="10"/>
  <c r="D37" i="10"/>
  <c r="D40" i="10"/>
  <c r="D32" i="10"/>
  <c r="G11" i="55"/>
  <c r="C8" i="72"/>
  <c r="N9" i="72" l="1"/>
  <c r="J9" i="72"/>
  <c r="F9" i="72"/>
  <c r="C14" i="72"/>
  <c r="M9" i="72"/>
  <c r="I9" i="72"/>
  <c r="E9" i="72"/>
  <c r="P9" i="72"/>
  <c r="L9" i="72"/>
  <c r="H9" i="72"/>
  <c r="O9" i="72"/>
  <c r="K9" i="72"/>
  <c r="G9" i="72"/>
  <c r="E8" i="72" l="1"/>
  <c r="E14" i="72"/>
  <c r="O14" i="72"/>
  <c r="O8" i="72"/>
  <c r="P14" i="72"/>
  <c r="P8" i="72"/>
  <c r="D10" i="72"/>
  <c r="D12" i="72"/>
  <c r="F8" i="72"/>
  <c r="F14" i="72"/>
  <c r="G14" i="72"/>
  <c r="G8" i="72"/>
  <c r="H14" i="72"/>
  <c r="H8" i="72"/>
  <c r="I8" i="72"/>
  <c r="I14" i="72"/>
  <c r="J8" i="72"/>
  <c r="J14" i="72"/>
  <c r="D8" i="72"/>
  <c r="K14" i="72"/>
  <c r="K8" i="72"/>
  <c r="L14" i="72"/>
  <c r="L8" i="72"/>
  <c r="M8" i="72"/>
  <c r="M14" i="72"/>
  <c r="N8" i="72"/>
  <c r="N14" i="72"/>
  <c r="D14" i="72" l="1"/>
</calcChain>
</file>

<file path=xl/sharedStrings.xml><?xml version="1.0" encoding="utf-8"?>
<sst xmlns="http://schemas.openxmlformats.org/spreadsheetml/2006/main" count="1709" uniqueCount="722">
  <si>
    <t>dias/mês</t>
  </si>
  <si>
    <t>habitantes</t>
  </si>
  <si>
    <t>Peso diário</t>
  </si>
  <si>
    <t>kg/dia</t>
  </si>
  <si>
    <t>Peso mensal</t>
  </si>
  <si>
    <t>toneladas/mês</t>
  </si>
  <si>
    <t>Percurso estimado diário</t>
  </si>
  <si>
    <t>km/dia</t>
  </si>
  <si>
    <t>km</t>
  </si>
  <si>
    <t>km/mês</t>
  </si>
  <si>
    <t>Unidade</t>
  </si>
  <si>
    <t>m³</t>
  </si>
  <si>
    <t>ton/m³</t>
  </si>
  <si>
    <t>ton</t>
  </si>
  <si>
    <t>Percurso estimado total por caminhão</t>
  </si>
  <si>
    <t>Equipe</t>
  </si>
  <si>
    <t>-</t>
  </si>
  <si>
    <t>UNIDADE</t>
  </si>
  <si>
    <t>TOTAL</t>
  </si>
  <si>
    <t>INSUMO</t>
  </si>
  <si>
    <t>MÃO DE OBRA - COLETA DE RSU</t>
  </si>
  <si>
    <t>Salário mensal</t>
  </si>
  <si>
    <t>x</t>
  </si>
  <si>
    <t>=</t>
  </si>
  <si>
    <t>Insalubridade-G.Máximo</t>
  </si>
  <si>
    <t>Hora extra 50%</t>
  </si>
  <si>
    <t>H.E Feriados</t>
  </si>
  <si>
    <t>Adicional H. Noturno</t>
  </si>
  <si>
    <t>Encargos sociais</t>
  </si>
  <si>
    <t>Salário mensal com encargos</t>
  </si>
  <si>
    <t>Vale refeição</t>
  </si>
  <si>
    <t>Cesta básica</t>
  </si>
  <si>
    <t>Cesta de gratificação férias  (1/12)</t>
  </si>
  <si>
    <t>Cesta natalina (1/12)</t>
  </si>
  <si>
    <t>PAF</t>
  </si>
  <si>
    <t>Plano de saúde</t>
  </si>
  <si>
    <t>PCMSO</t>
  </si>
  <si>
    <t>Seguro de vida</t>
  </si>
  <si>
    <t>Vale transporte (deduzido 6%)</t>
  </si>
  <si>
    <t>Uniforme</t>
  </si>
  <si>
    <t>Custo mensal unitário</t>
  </si>
  <si>
    <t>Gratificação acúmulo de função</t>
  </si>
  <si>
    <t>Função</t>
  </si>
  <si>
    <t>Qtde</t>
  </si>
  <si>
    <t>Custo Unitário</t>
  </si>
  <si>
    <t>Custo mensal</t>
  </si>
  <si>
    <t>MOTORISTA DIURNO</t>
  </si>
  <si>
    <t>MOTORISTA NOTURNO</t>
  </si>
  <si>
    <t xml:space="preserve">GARI COLETOR DIURNO </t>
  </si>
  <si>
    <t xml:space="preserve">GARI COLETOR NOTURNO </t>
  </si>
  <si>
    <t>Total mensal</t>
  </si>
  <si>
    <t>OBRA: COLETA DE RESÍDUOS SÓLIDOS DOMICILIARES</t>
  </si>
  <si>
    <t xml:space="preserve">Ref: </t>
  </si>
  <si>
    <t>BDI:</t>
  </si>
  <si>
    <t>Item</t>
  </si>
  <si>
    <t>Descrição de Atividades</t>
  </si>
  <si>
    <t xml:space="preserve">Unidade </t>
  </si>
  <si>
    <t>Quantidade</t>
  </si>
  <si>
    <t>Coleta e transporte de resíduos sólidos domiciliares</t>
  </si>
  <si>
    <t>mês</t>
  </si>
  <si>
    <t>1.1</t>
  </si>
  <si>
    <t>1.2</t>
  </si>
  <si>
    <t>Total</t>
  </si>
  <si>
    <t>INSS</t>
  </si>
  <si>
    <t>FGTS</t>
  </si>
  <si>
    <t>SENAI</t>
  </si>
  <si>
    <t>SESI</t>
  </si>
  <si>
    <t>INCRA</t>
  </si>
  <si>
    <t>Salário Educação</t>
  </si>
  <si>
    <t>SEBRAE</t>
  </si>
  <si>
    <t>TOTAL GRUPO A</t>
  </si>
  <si>
    <t>TOTAL GRUPO B</t>
  </si>
  <si>
    <t>TOTAL GRUPO C</t>
  </si>
  <si>
    <t>TOTAL GRUPO D</t>
  </si>
  <si>
    <t>EQUIPAMENTOS DE PROTEÇÃO INDIVIDUAL</t>
  </si>
  <si>
    <t>Descrição</t>
  </si>
  <si>
    <t>Quant/ano</t>
  </si>
  <si>
    <t>Preço unitário</t>
  </si>
  <si>
    <t>Preço total</t>
  </si>
  <si>
    <t>Camiseta</t>
  </si>
  <si>
    <t>Calça c/ faixa refletiva ABNT NBR 15.292</t>
  </si>
  <si>
    <t>Boné Árabe</t>
  </si>
  <si>
    <t>Calçado de segurança</t>
  </si>
  <si>
    <t>Capa de chuva de PVC</t>
  </si>
  <si>
    <t>Protetor solar FPS 30</t>
  </si>
  <si>
    <t>Custo anual</t>
  </si>
  <si>
    <t>Camisa c/ faixa refletiva ABNT NBR 15.292</t>
  </si>
  <si>
    <t>Capa de chuva PVC</t>
  </si>
  <si>
    <t>Luva nitrilon(par)</t>
  </si>
  <si>
    <t>Protetor Solar FPS 30</t>
  </si>
  <si>
    <t>Despesas Financeiras</t>
  </si>
  <si>
    <t>1º Quartil</t>
  </si>
  <si>
    <t>3º Quartil</t>
  </si>
  <si>
    <t>ENCARGOS DE FORMAÇÃO DE PREÇO</t>
  </si>
  <si>
    <t>SELIC</t>
  </si>
  <si>
    <t>Centro</t>
  </si>
  <si>
    <t>Semanas por mês</t>
  </si>
  <si>
    <t>Rota</t>
  </si>
  <si>
    <t>Setor</t>
  </si>
  <si>
    <t>Custo unitário</t>
  </si>
  <si>
    <t>Diário</t>
  </si>
  <si>
    <t>Percurso total mensal (km)</t>
  </si>
  <si>
    <t>Custo mensal - Noturno</t>
  </si>
  <si>
    <t>Custo mensal - Diurno</t>
  </si>
  <si>
    <t>ADMINISTRAÇÃO LOCAL</t>
  </si>
  <si>
    <t>INSTALAÇÃO ADMINISTRATIVA</t>
  </si>
  <si>
    <t>Impressões, informática e correios</t>
  </si>
  <si>
    <t>Cesta de gratificação férias (1/12)</t>
  </si>
  <si>
    <t>Semanalmente</t>
  </si>
  <si>
    <t>H</t>
  </si>
  <si>
    <t>PLANILHA ORÇAMENTÁRIA - RESUMO MENSAL E TOTAL</t>
  </si>
  <si>
    <t>Bairro</t>
  </si>
  <si>
    <t>INFORMAÇÕES BÁSICAS DA COMPOSIÇÃO</t>
  </si>
  <si>
    <t>Número de dias - seg a sábado médio por mês</t>
  </si>
  <si>
    <t>Número de dias - seg a sábado médio por ano</t>
  </si>
  <si>
    <t>Número de dias úteis - seg a sexta médio por ano</t>
  </si>
  <si>
    <t>Número de dias úteis - seg a sexta médio por mês</t>
  </si>
  <si>
    <t>COLETA DE RSU</t>
  </si>
  <si>
    <t>2.1</t>
  </si>
  <si>
    <t>2.2</t>
  </si>
  <si>
    <t>RESUMO GLOBAL ESTIMADO - LIMPEZA URBANA</t>
  </si>
  <si>
    <t>MÃO DE OBRA - ADMINISTRAÇÃO LOCAL</t>
  </si>
  <si>
    <t>RESUMO ADM. LOCAL</t>
  </si>
  <si>
    <t>ASSISTENTE ADMINISTRATIVO</t>
  </si>
  <si>
    <t>ENGENHEIRO RESPONSÁVEL (RT, MEDIÇÕES, FISCALIZAÇÃO)</t>
  </si>
  <si>
    <t>Assistente administrativo</t>
  </si>
  <si>
    <t>Engenheiro responsável (RT, medições, fiscalização)</t>
  </si>
  <si>
    <t>LOCAL: PRESIDENTE OLEGÁRIO-MG</t>
  </si>
  <si>
    <t>DIMENSIONAMENTO FÍSICO-FINANCEIRO
COLETA DE RESÍDUOS SÓLIDOS URBANOS DE PRESIDENTE OLEGÁRIO-MG</t>
  </si>
  <si>
    <t>RSU (ton/dia)</t>
  </si>
  <si>
    <t>Frequência coleta</t>
  </si>
  <si>
    <t>TOTAL URBANO</t>
  </si>
  <si>
    <t>Bairros</t>
  </si>
  <si>
    <t>Percurso médio diário (km/dia)</t>
  </si>
  <si>
    <t>RESUMO COLETA DE RESÍDUOS URBANA</t>
  </si>
  <si>
    <t>RESUMO COLETA DE RESÍDUOS RURAL (DISTRITOS)</t>
  </si>
  <si>
    <t>COLETA DE RESÍDUOS SÓLIDOS URBANOS - ZONA URBANA</t>
  </si>
  <si>
    <t>COLETA DE RESÍDUOS SÓLIDOS URBANOS - RURAL/DISTRITOS</t>
  </si>
  <si>
    <t>Quarta</t>
  </si>
  <si>
    <t>Terça</t>
  </si>
  <si>
    <t>Sábado</t>
  </si>
  <si>
    <t>COLETA DE RSU RURAL/DISTRITOS</t>
  </si>
  <si>
    <t>Disponível em: https://precos.petrobras.com.br/w/gasolina/mg</t>
  </si>
  <si>
    <t>Barreiro dos Veados</t>
  </si>
  <si>
    <t>Andréquicé</t>
  </si>
  <si>
    <t>Galena</t>
  </si>
  <si>
    <t>Aldeia Xucuru Kariri</t>
  </si>
  <si>
    <t>Vargem Grande</t>
  </si>
  <si>
    <t>Taboca</t>
  </si>
  <si>
    <t>Cruzeiro da Prata</t>
  </si>
  <si>
    <t>Bela Vista</t>
  </si>
  <si>
    <t>Ponte Firme</t>
  </si>
  <si>
    <t>Rota Aldeia à Galena=</t>
  </si>
  <si>
    <t>Rota Andrequicé à Galena=</t>
  </si>
  <si>
    <t>Rota Galena à Usina=</t>
  </si>
  <si>
    <t>Rota Presidente Olegário à Barreiro=</t>
  </si>
  <si>
    <t>Rota Barreiro à Andrequicé=</t>
  </si>
  <si>
    <t>Santiago de Minas e Chacarás Cachoeira</t>
  </si>
  <si>
    <t>Rota Santiago à Chacaras Cachoeira à Usina (ida e volta) =</t>
  </si>
  <si>
    <t>Rota Vargem Grande à Usina (ida e volta)=</t>
  </si>
  <si>
    <t>Rota Taboca à Cruzeiro da Prata=</t>
  </si>
  <si>
    <t>Rota Cruzeiro da Prata à Usina=</t>
  </si>
  <si>
    <t>Rota Presidente Olegário à Taboca=</t>
  </si>
  <si>
    <t>Rota Bela Vista à Ponte Firme à Usina (Ida e volta)=</t>
  </si>
  <si>
    <t>Km</t>
  </si>
  <si>
    <t>Densidade</t>
  </si>
  <si>
    <t>Capacidade</t>
  </si>
  <si>
    <t>ton/viagem</t>
  </si>
  <si>
    <t>Bairro Bela Vista</t>
  </si>
  <si>
    <t>Bairro Industrial</t>
  </si>
  <si>
    <t>Bairro Santa Maria</t>
  </si>
  <si>
    <t>Bairro Ibiza</t>
  </si>
  <si>
    <t>Bairro Sobradinho</t>
  </si>
  <si>
    <t>Mateus Caixeta</t>
  </si>
  <si>
    <t>Américo Caetano</t>
  </si>
  <si>
    <t>Andorinhas Andrezina Pinheiro</t>
  </si>
  <si>
    <t>Andorinhas</t>
  </si>
  <si>
    <t>Dona Benta</t>
  </si>
  <si>
    <t>Bairro Barro Preto</t>
  </si>
  <si>
    <t>Aleixo Araújo Leste</t>
  </si>
  <si>
    <t>Aleixo Araújo Oeste</t>
  </si>
  <si>
    <t>Juca mendes</t>
  </si>
  <si>
    <t>Santa Rita</t>
  </si>
  <si>
    <t>Planalto</t>
  </si>
  <si>
    <t>Aeroporto</t>
  </si>
  <si>
    <t>Saltador</t>
  </si>
  <si>
    <t>(m) total</t>
  </si>
  <si>
    <t>(km) total</t>
  </si>
  <si>
    <t>km/rota</t>
  </si>
  <si>
    <t xml:space="preserve">Rota </t>
  </si>
  <si>
    <t>Mercado Livre</t>
  </si>
  <si>
    <t>USE EPI</t>
  </si>
  <si>
    <t>Amazon</t>
  </si>
  <si>
    <t>EPI's Online</t>
  </si>
  <si>
    <t>Jamil</t>
  </si>
  <si>
    <t>Super EPI</t>
  </si>
  <si>
    <t>Magalu</t>
  </si>
  <si>
    <t>Net</t>
  </si>
  <si>
    <t>BHZEPI</t>
  </si>
  <si>
    <t>Ferramac</t>
  </si>
  <si>
    <t>Fast EPI's</t>
  </si>
  <si>
    <t>Molyplast</t>
  </si>
  <si>
    <t>eFácil</t>
  </si>
  <si>
    <t>UltraFarma</t>
  </si>
  <si>
    <t>Média de Preços- Camiseta</t>
  </si>
  <si>
    <t>Média de Preços- Calça</t>
  </si>
  <si>
    <t>Média de Preços- Boné Árabe</t>
  </si>
  <si>
    <t>Média de Preços - Calçado de Segur.</t>
  </si>
  <si>
    <t xml:space="preserve">Média de Preços - Capa de Chuva </t>
  </si>
  <si>
    <t>Média de Preços - Luva de Nitrilon</t>
  </si>
  <si>
    <t>Média de Preços - Protetor Solar FPS 30</t>
  </si>
  <si>
    <t>População (IBGE-2025)</t>
  </si>
  <si>
    <t>toneladas/dia</t>
  </si>
  <si>
    <t>Rural</t>
  </si>
  <si>
    <t xml:space="preserve">Segunda </t>
  </si>
  <si>
    <t>Quinta</t>
  </si>
  <si>
    <t>Sexta</t>
  </si>
  <si>
    <t>Caminhão</t>
  </si>
  <si>
    <t>Carga</t>
  </si>
  <si>
    <t>Urbana/Rural</t>
  </si>
  <si>
    <t>Urbano</t>
  </si>
  <si>
    <t>Andrequicé/Barreiro/Galena/Aldeia</t>
  </si>
  <si>
    <t>Duração</t>
  </si>
  <si>
    <t>Santiago</t>
  </si>
  <si>
    <t>Taboca/Cruzeiro</t>
  </si>
  <si>
    <t>Bela Vista/Ponte Firme</t>
  </si>
  <si>
    <t>KM INT.</t>
  </si>
  <si>
    <t>Hor. de Inicio da Coleta</t>
  </si>
  <si>
    <t>Hor. de Final da Coleta</t>
  </si>
  <si>
    <t>un.</t>
  </si>
  <si>
    <t>Custo unitário R$/mês</t>
  </si>
  <si>
    <t>Tempo coleta interna</t>
  </si>
  <si>
    <t>Tempo Total da rota</t>
  </si>
  <si>
    <t>https://www.ibraop.org.br/wp-content/uploads/2018/12/PROC-IBR-RSU-002-2017-An%C3%A1lise-do-dimensionamento-da-frota-do-Servi%C3%A7o-de-Coleta-de-RSD.pdf</t>
  </si>
  <si>
    <t>5 a 10 k/h</t>
  </si>
  <si>
    <t>7km/h</t>
  </si>
  <si>
    <t>Ibraop</t>
  </si>
  <si>
    <t>Tempo acesso a coleta int.ou usina</t>
  </si>
  <si>
    <t>KM. Acesso (Ida e Volta)</t>
  </si>
  <si>
    <t>Preço total mensal c/BDI --- R$/mês</t>
  </si>
  <si>
    <t>Preço total anual com BDI - R$/12 meses</t>
  </si>
  <si>
    <t>https://www.cemig.com.br/valores-e-tarifas/tarifas-vigentes/</t>
  </si>
  <si>
    <t>TARIFAS - COPASA</t>
  </si>
  <si>
    <t>TARIFAS - CEMIG</t>
  </si>
  <si>
    <t>SEI/GOVMG - 129929618 - Resolução</t>
  </si>
  <si>
    <t>https://copasaportalprd.azurewebsites.net/Copasa.Portal/Services/CurrentRates</t>
  </si>
  <si>
    <t>*Bandeiras vermelhas no período de 12 meses com base nos dados públicos da ANEEL: 4 meses de bandeira verde, 2 meses de bandeira amarela, 4 meses de bandeira vermelha patamar I e 2 bandeiras vermelhas patamar 2</t>
  </si>
  <si>
    <t>Considerou-se um consumo em L/pessoa/ dia</t>
  </si>
  <si>
    <t>Gasto de água para limpeza em  L/dia</t>
  </si>
  <si>
    <t>Valor total</t>
  </si>
  <si>
    <t>Total gasto KW/h</t>
  </si>
  <si>
    <t>Taxa Fixa:</t>
  </si>
  <si>
    <t>Gasto para limpeza em m³/mês</t>
  </si>
  <si>
    <t>Gasto por pessoa em m³/mês</t>
  </si>
  <si>
    <t>Valor total R$/m³</t>
  </si>
  <si>
    <t xml:space="preserve">Insalubridade-G.Máximo </t>
  </si>
  <si>
    <t>Disponível em: https://www.bcb.gov.br/estabilidadefinanceira/selicdadosdiarios</t>
  </si>
  <si>
    <t>Bandeira verde</t>
  </si>
  <si>
    <t>Bandeira amarela</t>
  </si>
  <si>
    <t>Bandeira vermelho 1</t>
  </si>
  <si>
    <t>Bandeira vermelho 2</t>
  </si>
  <si>
    <t>* Consumo considerado em KW/h -------------&gt;</t>
  </si>
  <si>
    <t>ENGENHEIRO CIVIL DE OBRA PLENO COM ENCARGOS COMPLEMENTARES</t>
  </si>
  <si>
    <t>CURSO DE CAPACITAÇÃO PARA ENGENHEIRO CIVIL DE OBRA PLENO (ENCARGOS COMPLEMENTARES) - HORISTA</t>
  </si>
  <si>
    <t>EPI - FAMILIA ENGENHEIRO CIVIL - HORISTA (ENCARGOS COMPLEMENTARES - COLETADO CAIXA)</t>
  </si>
  <si>
    <t>FERRAMENTAS - FAMILIA ENGENHEIRO CIVIL - HORISTA (ENCARGOS COMPLEMENTARES - COLETADO CAIXA)</t>
  </si>
  <si>
    <t>SEGURO - HORISTA (COLETADO CAIXA - ENCARGOS COMPLEMENTARES)</t>
  </si>
  <si>
    <t>EXAMES - HORISTA (COLETADO CAIXA - ENCARGOS COMPLEMENTARES)</t>
  </si>
  <si>
    <t>ALIMENTACAO - HORISTA (COLETADO CAIXA - ENCARGOS COMPLEMENTARES)</t>
  </si>
  <si>
    <t>ENGENHEIRO CIVIL DE OBRA PLENO (HORISTA)</t>
  </si>
  <si>
    <t>COMPOSICAO</t>
  </si>
  <si>
    <t>Código</t>
  </si>
  <si>
    <t>Tipo Item</t>
  </si>
  <si>
    <t>Quantidade de dias no mês</t>
  </si>
  <si>
    <t>ENGENHEIRO CIVIL PLENO (SINAPI- REFERÊNCIA 01/2026 MG - 90778)</t>
  </si>
  <si>
    <t>Custo</t>
  </si>
  <si>
    <t xml:space="preserve">Para efeitos de cálculo foram considerados o valor do engenheiro civil horista com 2 horas de trabalho por dia, de segunda a sexta com base na planilha de preços referenciais do SINAPI. </t>
  </si>
  <si>
    <t>Coef.</t>
  </si>
  <si>
    <t>TOTAL CUSTO POR HORA</t>
  </si>
  <si>
    <t>OBRA: COLETA DE RSU</t>
  </si>
  <si>
    <t>Preço Total c/BDI</t>
  </si>
  <si>
    <t>Preço Unitário Mensal c/BDI</t>
  </si>
  <si>
    <t>MÃO DE OBRA</t>
  </si>
  <si>
    <t>VALOR TOTAL MENSAL</t>
  </si>
  <si>
    <t>https://veiculos.fipe.org.br/</t>
  </si>
  <si>
    <t>GARI COLETOR NOTURNO (CCT MG000017/2026) - 02:00 ÀS 10:20</t>
  </si>
  <si>
    <t>GARI COLETOR DIURNO (CCT MG000017/2026)</t>
  </si>
  <si>
    <t>MOTORISTA DIURNO (CCT MG000982/2026)</t>
  </si>
  <si>
    <t>MOTORISTA NOTURNO (CCT MG000982/2026)</t>
  </si>
  <si>
    <t>MOTORISTA ENCARREGADO (CCT MG000982/2026)</t>
  </si>
  <si>
    <t>ASSISTENTE ADMINISTRATIVO (CCT MG000495/2026)</t>
  </si>
  <si>
    <t>Quantidade de horas por dia trabalhados</t>
  </si>
  <si>
    <t>Valor Total do contrato 
(12 meses)</t>
  </si>
  <si>
    <t>https://www.bellenzier.com.br/pneu-275-80r22-5-tr-01-149-146m-tl-aro-22-5.html?srsltid=AfmBOoqR6-CpGME6Rs5V0ubKLmrRnVyKBhDPtgTcVlqJ-0Kfo_fMOpBTRis</t>
  </si>
  <si>
    <t>https://www.pneustore.com.br/pneu-kumho-aro-22-5-krd55-275-80r22-5-149-146l-16-lonas-16010020</t>
  </si>
  <si>
    <t>https://cargapesadapneus.com.br/produtos/pneu-275-80r22-5-liso-goodyear-kmax-extreme/?srsltid=AfmBOooTxFVa6nwgGGEVXJJi87Vb-jos9MJyll1oSNea4Yo0-NdXTMKDUL0</t>
  </si>
  <si>
    <t>Bellenzier</t>
  </si>
  <si>
    <t>PneuStore</t>
  </si>
  <si>
    <t>PROC</t>
  </si>
  <si>
    <t>ITEM</t>
  </si>
  <si>
    <t>VARIÁVEL</t>
  </si>
  <si>
    <t xml:space="preserve">VALOR </t>
  </si>
  <si>
    <t>OBSERVAÇÃO</t>
  </si>
  <si>
    <t>Valor de aquisição do veículo e caçamba
 (VA) =</t>
  </si>
  <si>
    <t>Caminhão (chassi)</t>
  </si>
  <si>
    <t>R$</t>
  </si>
  <si>
    <t>Caçamba (14m³)</t>
  </si>
  <si>
    <t>Valor residual (VR) =</t>
  </si>
  <si>
    <t xml:space="preserve">Adotou-se para o cálculo do valor residual o percentual de
(20%) dentre o intervalo proposto pelo IBRAOP. (A Unidade Técnica poderá
considerar para o valor residual um percentual entre 20 a 35%). </t>
  </si>
  <si>
    <t>Percentual de 20%</t>
  </si>
  <si>
    <t>Vida útil (VU) meses =</t>
  </si>
  <si>
    <t>meses</t>
  </si>
  <si>
    <t>Adotou-se uma vida útil de 10 anos para o caminhão basculante de 14 m³</t>
  </si>
  <si>
    <t>Custo de depreciação mensal
(D) =</t>
  </si>
  <si>
    <t>R$/mês</t>
  </si>
  <si>
    <t>Depreciação linear, conforme a fórmula a seguir:
D = (VA – VR) / VU</t>
  </si>
  <si>
    <t>Anos de uso =</t>
  </si>
  <si>
    <t>caminhão
(chassis)</t>
  </si>
  <si>
    <t>anos</t>
  </si>
  <si>
    <t>Tendo em vista que os chassis cotados pela Administração foram modelos do ano 2017 e a data base do orçamento foi de 06/04/2026, considerou-se como valor inicial do bem o valor de aquisição cotado pela FIPE descontado da depreciação de 9 anos de uso. Como a vida útil prevista é de 10 anos, para um equipamento já com 9 ano de uso, deverá ser utilizado o t (tempo restante de vida útil) de 1 anos.</t>
  </si>
  <si>
    <t>Valor inicial do bem (V0) =</t>
  </si>
  <si>
    <t>Tempo restante de vida útil (t) =</t>
  </si>
  <si>
    <t>Investimento médio (Im) =</t>
  </si>
  <si>
    <t>Im = [(V0 - VR) * (t + 1) / 2t] + VR</t>
  </si>
  <si>
    <t>Taxa de juros do mercado ao ano (i) =</t>
  </si>
  <si>
    <t>% a.a</t>
  </si>
  <si>
    <t>Taxa Selic atual: https://www.bcb.gov.br/estabilidadefinanceira/selicdadosdiarios</t>
  </si>
  <si>
    <t>Remuneração de capital mensal (Jm) =</t>
  </si>
  <si>
    <t>Jm = Im * i / 12</t>
  </si>
  <si>
    <t>Alíquota do IPVA estabelecida
na legislação estadual (a) =</t>
  </si>
  <si>
    <t>%</t>
  </si>
  <si>
    <t>Valor IPVA MG:
1% para caminhões, ônibus e micro-ônibus; (https://www.fazenda.mg.gov.br/empresas/impostos/ipva/calculo.html)</t>
  </si>
  <si>
    <t>Valor do bem de acordo com a
legislação estadual (Vbem) =</t>
  </si>
  <si>
    <t>IPVA = a * Vbem / 12</t>
  </si>
  <si>
    <t xml:space="preserve">Valor do IPVA (IPVA) = </t>
  </si>
  <si>
    <t xml:space="preserve">DPVAT = </t>
  </si>
  <si>
    <t>R$/ano</t>
  </si>
  <si>
    <t>O Seguro DPVAT não foi cobrado para os exercícios de 2021, 2022, 2023, 2024 e 2026</t>
  </si>
  <si>
    <t>CRVL =</t>
  </si>
  <si>
    <t>Taxa de Licenciamento Anual 2026 202https://www.fazenda.mg.gov.br/empresas/taxas/taxa_licenciamento/</t>
  </si>
  <si>
    <t>Seguro contra terceiros =</t>
  </si>
  <si>
    <t>Licenciamento de veículos =</t>
  </si>
  <si>
    <t>Licenciamento de veículos = IPVA + DPVAT + CRVL + Seguro contra
terceiros</t>
  </si>
  <si>
    <t>Consumo Médio (CM)=</t>
  </si>
  <si>
    <t>Caminhão (Rota de Coleta)</t>
  </si>
  <si>
    <t>L/km</t>
  </si>
  <si>
    <t>Para verificação do consumo médio do caminhão, deve-se observar o tipo do caminhão (toco e trucado) e as características das rotas de coleta, como declividades, condições do asfalto, velocidade do caminhão entre outros fatores considerados no dimensionamento que podem impactar diretamente no consumo médio. Considera-se aceitável a faixa de consumo médio entre 0,3 a 0,5L/km, tendo sido adotado para este preço paradigma o valor mais conservador do intervalo.</t>
  </si>
  <si>
    <t>Caminhão (Rota de trajeto à Usina de Reciclagem e ao Centro de Massa)</t>
  </si>
  <si>
    <t>Preço do combustível (PO) =</t>
  </si>
  <si>
    <t>diesel</t>
  </si>
  <si>
    <t>R$/L</t>
  </si>
  <si>
    <t>Custo com combustível por km
(CCB) =</t>
  </si>
  <si>
    <t>R$/km</t>
  </si>
  <si>
    <t>CCB = CM * PO                                                                                         Onde: CM - Consumo médio; PO - Preço do combustível</t>
  </si>
  <si>
    <t>Distância percorrida no mês
(DP) =</t>
  </si>
  <si>
    <t>Custo com combustível mensal
(CCM) =</t>
  </si>
  <si>
    <t xml:space="preserve">CCM = CCB * DP </t>
  </si>
  <si>
    <t>Custos com lubrificação (CL) =</t>
  </si>
  <si>
    <t>CL = CCM * 0,10</t>
  </si>
  <si>
    <t>Preço do pneu novo (P) =</t>
  </si>
  <si>
    <t>Preço da câmara nova (C) =</t>
  </si>
  <si>
    <t>Preço do protetor novo (PP) =</t>
  </si>
  <si>
    <t xml:space="preserve">unid. </t>
  </si>
  <si>
    <t>Número total de pneus do
veículo e do equipamento (NP) =</t>
  </si>
  <si>
    <t>O número de pneus em caminhões “toco” e “truck” são respectivamente 6 e
10.</t>
  </si>
  <si>
    <t>Preço da recauchutagem (R) =</t>
  </si>
  <si>
    <t>Vida útil do pneu novo (VUN) =</t>
  </si>
  <si>
    <t>Vida útil do pneu com
recauchutagem (VUR) =</t>
  </si>
  <si>
    <t>Preço de pneus e
recauchutagem por quilômetro
rodado (CR) =</t>
  </si>
  <si>
    <t>R$/Km</t>
  </si>
  <si>
    <t>CR = {[1,2 * (P + C + PP) * NP] + (R * NP)} / (VUN + VUR)</t>
  </si>
  <si>
    <t>Quilometragem rodada no mês
(QRM) =</t>
  </si>
  <si>
    <t>Km/mês</t>
  </si>
  <si>
    <t>Preço mensal de pneus e
recauchutagem (CPR) =</t>
  </si>
  <si>
    <t>CPR = QRM * CR</t>
  </si>
  <si>
    <t>Valor de aquisição do veículo
novo com equipamento de carga
e sem pneu (VA) =</t>
  </si>
  <si>
    <t>Coeficiente de manutenção (k) =</t>
  </si>
  <si>
    <t>Custo com manutenção (M) =</t>
  </si>
  <si>
    <t xml:space="preserve">CFE = D + Jm + Licenciamento de veículos </t>
  </si>
  <si>
    <t>Custos variáveis com veículos
dos serviços de coleta de RSD
(CVE) =</t>
  </si>
  <si>
    <t xml:space="preserve"> CVE = CCM + CL + CPR + M</t>
  </si>
  <si>
    <t>CUSTO TOTAL COM EQUIPAMENTO E VEÍCULOS</t>
  </si>
  <si>
    <t>Como a Usina de Reciclagem encontra-se muito das rotas de coleta, adotou-se, de forma conservadora, toda a extensão percorrida como dentro da rota de coleta (condição em que o consumo de combustível é maior).</t>
  </si>
  <si>
    <t>3.3.
Pneus e
recauchutagem</t>
  </si>
  <si>
    <t xml:space="preserve">3.2. Óleos, filtros e
lubrificantes </t>
  </si>
  <si>
    <t>3.1. Combustível</t>
  </si>
  <si>
    <t>3.1. Custo de Depreciação do Veículo</t>
  </si>
  <si>
    <t>3.2. Remuneração de capital</t>
  </si>
  <si>
    <t>3.3. Licenciamento
de veículos</t>
  </si>
  <si>
    <t>3.4. Manutenção</t>
  </si>
  <si>
    <t>Custos fixos com veículos dos serviços de coleta de RSD (CFE) =</t>
  </si>
  <si>
    <t>Caso a Unidade Técnica não consiga obter as séries históricas de custos de manutenção com os veículos e equipamentos de coleta de RSD, descritos no item acima, deverá ser utilizada a seguinte fórmula: M = (VA * k) / VU. A Unidade Técnica deverá se atentar que, para esse item, poderá ser utilizado o fator de redução proporcional ao tempo de utilização no caso de
veículos sem dedicação exclusiva. Essa situação poderá acontecer, em especial, em municípios de pequeno porte e próximos entre si. No caso
concreto, houve a previsão de aproveitamento dos caminhões em dois turnos, então não se aplica.</t>
  </si>
  <si>
    <t xml:space="preserve">Para definição do coeficiente de manutenção (k), a Unidade Técnica utilizou os coeficientes de manutenção de equipamentos utilizados pelo Sicro (Sistemas de Custos Rodoviários – DNIT). </t>
  </si>
  <si>
    <t>O valor do caminhão (chassi + caçamba) foi obtido a partir da cotação da Tabela FIPE e do indicado no PROC-IBR-RSU 004/2017 – Análise de Orçamento do Serviço de Coleta de RSD - Custos Fixos de Veículos e Equipamentos. Foi descontado o valor dos pneus para o cálculo da manutenção, já que seu reparo está previsto no item 3.3 - Pneus e recauchutagem.</t>
  </si>
  <si>
    <t>Como parâmetro de auditoria desses contratos, utiliza-se atualmente um ciclo completo de 50.000 Km sendo 30.000 Km a vida útil de um jogo de pneus novos (VUN) e 20.000 Km a vida útil de um jogo de pneus recauchutados (VUR). A Resolução 158/2004 do Conselho Nacional de Trânsito (Contran) proíbe o
uso de pneus reformados em veículos automotores de duas ou três rodas.</t>
  </si>
  <si>
    <t>Para os custos de recauchutagens, foram consultados sites de prestadores de serviços especializadas.
A Resolução 158/2004 do Conselho Nacional de Trânsito (Contran) proíbe o uso de pneus reformados em veículos automotores de duas ou três rodas.</t>
  </si>
  <si>
    <t>Disponível em: https://www.gov.br/anp/pt-br/assuntos/precos-e-defesa-da-concorrencia/precos/levantamento-de-precos-de-combustiveis-ultimas-semanas-pesquisadas</t>
  </si>
  <si>
    <t>Caminhão (Rota de Coleta interna)</t>
  </si>
  <si>
    <t>O preço do combustível pode ser consultado no site da Agência Nacional de Petróleo – ANP, que
possibilita a busca por Estado e por municípios. O valor adotado no orçamento de referência foi referente à média Minas Gerais/Belo Horizonte em abril. Adotou-se para o cálculo paradigma o valor do custo no período atual (29/03 a 04/04/2026).</t>
  </si>
  <si>
    <t>As distâncias percorridas mensalmente foram obtidas a partir do somátório de rotas para cada comunidade, conforme mapa do município.</t>
  </si>
  <si>
    <t>As distâncias percorridas mensalmente foram obtidas a partir do somátório de rotas de acesso às comunidades até a usina de reciclagem, conforme mapa do município.</t>
  </si>
  <si>
    <t>A distância percorrida mensalmente foi obtida a partir do somátório de rotas que cada caminhão irá realizar, conforme mapa do município. Como será 2 caminhões dividiu-se as distâncias totais por 2, já que cada caminhão fará a metade de toda a rota de coleta</t>
  </si>
  <si>
    <t>Preço total c/ BDI R$/mês</t>
  </si>
  <si>
    <t>Custo total = (CFE + CVE)/QRM</t>
  </si>
  <si>
    <t>Caminhão (Trajetos da rota de acesso à coleta interna dos povoados até a usina de reciclagem)</t>
  </si>
  <si>
    <t xml:space="preserve">Segundo o IBRAOP, "quando o dimensionamento das rotas discriminar o trajeto para o aterro sanitário ou transbordo, bem como o trajeto até a garagem, deve-se utilizar o consumo médio em torno 0,2L/km. Nestes casos, para o consumo nas rotas de coleta, deve-se utilizar o consumo médio em torno de 0,6L/km." Porém, considerando que o trajeto até as comunidades envolve trechos de estradas rurais e trechos montanhosos, adotou-se um consumo médio de 0,4 L/Km para as rotas de acesso às comunidades e de 0,6 L/Km conforme recomendado para as rotas internas de coleta. </t>
  </si>
  <si>
    <t>Custo total R$/mês</t>
  </si>
  <si>
    <t>GARI COLETOR NOTURNO - RESERVA TÉCNICA</t>
  </si>
  <si>
    <t>MOTORISTA ENCARREGADO RESERVA TÉCNICA</t>
  </si>
  <si>
    <t>GARI COLETOR DIURNO - RESERVA TÉCNICA</t>
  </si>
  <si>
    <r>
      <rPr>
        <b/>
        <sz val="11"/>
        <color theme="1"/>
        <rFont val="Calibri"/>
        <family val="2"/>
      </rPr>
      <t>Observações</t>
    </r>
    <r>
      <rPr>
        <sz val="11"/>
        <color theme="1"/>
        <rFont val="Calibri"/>
        <family val="2"/>
      </rPr>
      <t>: Seguindo as orientações do IBRAOP, especificamente da PROC-IBR-RSU 006/2017
Análise de Orçamento do Serviço de Coleta de RSD – Custos de
Equipes de Coleta, a reserva técnica foi adotada na composição de custo da equipe, utilizando-se um percentual de 2,5 %, incidindo sobre o somatório da remuneração, dos encargos sociais e trabalhistas e dos insumo de mão de obra, conforme Acórdãos AC 1753/2008 E AC 3092/2010 DO TCU. Deve-se atentar que o provisionado para cobrir faltas, férias, aviso prévio e demais substituições dos
empregados habituais que executam o contrato já integram o percentual de encargos sociais e
trabalhistas.</t>
    </r>
  </si>
  <si>
    <t xml:space="preserve">SUPERVISOR E MOTORISTA </t>
  </si>
  <si>
    <t>Caminhões basculantes (diurno e noturno)</t>
  </si>
  <si>
    <t>Caminhão reserva</t>
  </si>
  <si>
    <t>Garis coletores</t>
  </si>
  <si>
    <t>Motoristas</t>
  </si>
  <si>
    <t>DADOS TÉCNICOS</t>
  </si>
  <si>
    <t>Quant.</t>
  </si>
  <si>
    <t>Observações</t>
  </si>
  <si>
    <t>População estimada (IBGE-2025) - https://www.ibge.gov.br/cidades-e-estados/mg/presidente-olegario.html</t>
  </si>
  <si>
    <t>SUPERVISOR GERAL (CCT MG000495/2026)</t>
  </si>
  <si>
    <t>CUSTO UNITÁRIO TOTAL COM EQUIPAMENTO E VEÍCULOS</t>
  </si>
  <si>
    <t>CÁLCULO DO CUSTO DO CAMINHÃO BASCULANTE URBANO</t>
  </si>
  <si>
    <t>Custos fixos com veículo do serviço de coleta de RSD (CFE) =</t>
  </si>
  <si>
    <t>Licenciamento do veículo =</t>
  </si>
  <si>
    <t>Custos variáveis com o veículo
do serviço de coleta de RSD
(CVE) =</t>
  </si>
  <si>
    <r>
      <rPr>
        <b/>
        <sz val="11"/>
        <color theme="1"/>
        <rFont val="Calibri"/>
        <family val="2"/>
      </rPr>
      <t>PROC-IBR-RSU</t>
    </r>
    <r>
      <rPr>
        <sz val="11"/>
        <color theme="1"/>
        <rFont val="Calibri"/>
        <family val="2"/>
      </rPr>
      <t xml:space="preserve"> 004/2017 Análise do Orçamento da Coleta Domiciliar – custos fixos de veículos e equipamentos</t>
    </r>
  </si>
  <si>
    <r>
      <rPr>
        <b/>
        <sz val="11"/>
        <color theme="1"/>
        <rFont val="Calibri"/>
        <family val="2"/>
      </rPr>
      <t xml:space="preserve">PROC-IBR-RSU
005/2017 - </t>
    </r>
    <r>
      <rPr>
        <sz val="11"/>
        <color theme="1"/>
        <rFont val="Calibri"/>
        <family val="2"/>
      </rPr>
      <t>Análise
do Orçamento
da Coleta
Domiciliar –
custos variáveis
de veículos e
equipamentos</t>
    </r>
  </si>
  <si>
    <t>Custo total  = (CFE + CVE) * (1+10% reserva técnica)</t>
  </si>
  <si>
    <t>Custo total = (CFE + CVE) *(1+10% reserva técnica)</t>
  </si>
  <si>
    <t>Un.</t>
  </si>
  <si>
    <t>Volume do caminhão basculante = V</t>
  </si>
  <si>
    <t>Densidade dos resíduos soltos = P</t>
  </si>
  <si>
    <t>Aproveitamento da caçamba  = IC</t>
  </si>
  <si>
    <t>IBRAOP - PROC-IBR-RSU 002/2017 - Análise do Dimensionamento da Frota do Serviço de Coleta de
RSD</t>
  </si>
  <si>
    <t>Densidade de Lixo Não Compactado ton/m³:</t>
  </si>
  <si>
    <t>Peso específico aparente dos resíduos a serem coletados (ton/m³), da ordem de 0,2 a 0,3 ton/m³; - Valor adotado de 0,23 ton/m³ - PROC-IBR-RSU-002-2018</t>
  </si>
  <si>
    <t>Peso diário em k/hab.dia /1000</t>
  </si>
  <si>
    <t>População de área urbana * Geração de lixo per capita</t>
  </si>
  <si>
    <t>Q = (i * Pop * 30,42) / 1000  - PROC-IBR-RSU 001-2017</t>
  </si>
  <si>
    <t>População da área urbana = Pop</t>
  </si>
  <si>
    <t>Geração de lixo per capita = i</t>
  </si>
  <si>
    <t xml:space="preserve">km </t>
  </si>
  <si>
    <t>Dados da planilha de setorização</t>
  </si>
  <si>
    <t>Percurso estimado total</t>
  </si>
  <si>
    <t>Dado retirados através do Maps</t>
  </si>
  <si>
    <t>Percurso até a usina de reciclagem * 2 (Ida e Volta)</t>
  </si>
  <si>
    <t xml:space="preserve">Aproveitamento da caçamba  </t>
  </si>
  <si>
    <t>C = P * IC * V * Aproveitamento da caçamba</t>
  </si>
  <si>
    <t>Peso diário = Qs</t>
  </si>
  <si>
    <t>Capacidade efetiva do veículo = C</t>
  </si>
  <si>
    <t>Quantidade de viagens por dia = Nv</t>
  </si>
  <si>
    <t>Quantidade de caminhões calculado = Nf</t>
  </si>
  <si>
    <t>Percurso estimado total / quantidade de caminhões</t>
  </si>
  <si>
    <t>Pickup</t>
  </si>
  <si>
    <t>Pickup (Rota de Gerenciamento)</t>
  </si>
  <si>
    <t>Adotou-se uma vida útil de 5 anos para o caminhão basculante de 14 m³</t>
  </si>
  <si>
    <t>Tendo em vista que o modelo cotado pela Administração foi do ano 2022 e a data base do orçamento foi de 08/04/2026, considerou-se como valor inicial do bem o valor de aquisição cotado pela FIPE descontado da depreciação de 4 anos de uso. Como a vida útil prevista é de 5 anos, para um equipamento já com 4 ano de uso, deverá ser utilizado o t (tempo restante de vida útil) de 1 anos.</t>
  </si>
  <si>
    <t>Valor IPVA MG:
4% 	Automóveis, veículos de uso misto e utilitários, caminhonetes cabine estendida e dupla.; (https://www.fazenda.mg.gov.br/empresas/impostos/ipva/calculo.html)</t>
  </si>
  <si>
    <t>Foi considerada a base de dados da FIPE, considerando a data base do
orçamento (tabela de abril de 2026), para a obtenção do custo de
aquisição do modelo que a Administração adotou: 	
Strada Endurance 1.4 Flex 8V CS Plus (2022), em consonância ao que determina o Art. 23 da Lei
14.133/2021.</t>
  </si>
  <si>
    <t>Valor de 4,5% sobre o valor da tabela FIPE, conforme cotação realizada pelo site https://meuseguromaisbarato.com.br/seguro-de-carro/marca/fiat/strada/2021/strada-endurance-1-4-flex-8v-cs-plus</t>
  </si>
  <si>
    <t>Valor de aquisição do veículo 
 (VA) =</t>
  </si>
  <si>
    <t>Adotou-se um consumo de médio de 0,1 L/Km</t>
  </si>
  <si>
    <t>Gasolina</t>
  </si>
  <si>
    <t xml:space="preserve">Considerou-se uma distancia média de 40 Km percorridos diariamente * 26 dias de trabalho </t>
  </si>
  <si>
    <t>O preço dos pneus, foi obtido por meio de pesquisa de preços na internet.</t>
  </si>
  <si>
    <t>O número de pneus para pickup é 4 unidades</t>
  </si>
  <si>
    <t>Como parâmetro de auditoria desses contratos, utiliza-se atualmente um ciclo completo de 50.000 Km sendo 30.000 Km a vida útil de um jogo de pneus novos (VUN) e 20.000 Km a vida útil de um jogo de pneus recauchutados (VUR). Não foi considerado a recauchutagem nesta composição</t>
  </si>
  <si>
    <t>CR = {[1,2 * (P ) * NP]} / (VUN)</t>
  </si>
  <si>
    <t>Preço de pneus e
por quilômetro
rodado (CR) =</t>
  </si>
  <si>
    <t>Preço mensal de pneus  (CP) =</t>
  </si>
  <si>
    <t>CP = QRM * CR</t>
  </si>
  <si>
    <t>Valor de aquisição do veículo
novo
e sem pneu (VA) =</t>
  </si>
  <si>
    <t xml:space="preserve">Custo total = (CFE + CVE) </t>
  </si>
  <si>
    <t>https://www.pneufree.com.br/pneu/pneu-195-65r15-91h-powercontact-2-continental</t>
  </si>
  <si>
    <t>https://www.acheipneus.com.br/pneu-195-65r15-firestone-f600-91h-p994760</t>
  </si>
  <si>
    <t>https://www.dpaschoal.com.br/pneu-aro-15-xbri-fastway-w1-195-65r15-91h/p?idsku=1935127&amp;region_id=dnRleDpCUkE6Mzk5OTUwMDA&amp;gad_source=1&amp;gad_campaignid=22391409330&amp;gbraid=0AAAAADpcpxMHRt05hqrpx-0058CFYGQKV&amp;gclid=CjwKCAjw-dfOBhAjEiwAq0RwIwN-0Y9rYYanBy7HhUdE_yjcHF28JY04TQX9y4IDQ1_X1xl1RpvgXhoCqcUQAvD_BwE</t>
  </si>
  <si>
    <t>Pneu Free</t>
  </si>
  <si>
    <t>Achei Pneus</t>
  </si>
  <si>
    <t>DPaschoal</t>
  </si>
  <si>
    <t>Custos fixos com veículo de apoio (CFE) =</t>
  </si>
  <si>
    <t>Custos variáveis com o veículo
de apoio (CVE) =</t>
  </si>
  <si>
    <t>CUSTO TOTAL COM O VEÍCULO DE APOIO</t>
  </si>
  <si>
    <t>SUPERVISOR GERAL</t>
  </si>
  <si>
    <t>Supervisor Geral</t>
  </si>
  <si>
    <t xml:space="preserve">Adotou-se para o cálculo do valor residual o percentual de
(35%) dentre o intervalo proposto pelo IBRAOP. (A Unidade Técnica poderá
considerar para o valor residual um percentual entre 20 a 35%). </t>
  </si>
  <si>
    <t xml:space="preserve"> Leste A</t>
  </si>
  <si>
    <t xml:space="preserve"> Oeste A</t>
  </si>
  <si>
    <t>Leste B</t>
  </si>
  <si>
    <t>Oeste B</t>
  </si>
  <si>
    <t>CÁLCULOS PARA COMPOSIÇÃO</t>
  </si>
  <si>
    <t xml:space="preserve">GARI COLETOR </t>
  </si>
  <si>
    <t>Leste A</t>
  </si>
  <si>
    <t xml:space="preserve">Oeste B </t>
  </si>
  <si>
    <t>Centro e Aeroporto</t>
  </si>
  <si>
    <t>Dona Benta, Andorinhas, Américo Caetano, Mateus Caixeta</t>
  </si>
  <si>
    <t>Juca Mendes, Santa Rita, Planalto e Saltador</t>
  </si>
  <si>
    <t xml:space="preserve">Barro Preto, Aleixo Araújo, Sobradinho, Industrial, Santa Maria, Ibiza, Bela Vista </t>
  </si>
  <si>
    <t>1 motorista para cada caminhão</t>
  </si>
  <si>
    <t>Considerou-se 3 garis coletores para cada camimhão</t>
  </si>
  <si>
    <t>Reseva de Gari Coletor</t>
  </si>
  <si>
    <t>Reserva de Motorista</t>
  </si>
  <si>
    <t>Considerou-se 1 unidade reserva para cada equipe de gari coletor</t>
  </si>
  <si>
    <t>Considerou-se 1 unidades reserva para motorista</t>
  </si>
  <si>
    <t>Nv=Qs/C (Considerar o valor final arredondando para cima para próximo número inteiro)</t>
  </si>
  <si>
    <t>Nf=(Qs/C*Nv)*Ff  (Considerar o valor final arredondando para cima para próximo número inteiro)</t>
  </si>
  <si>
    <t xml:space="preserve"> Setor Leste A</t>
  </si>
  <si>
    <t>Setor Oeste A</t>
  </si>
  <si>
    <t>Setor Oeste B</t>
  </si>
  <si>
    <t>Setor Leste B</t>
  </si>
  <si>
    <t>Percurso do centro até a usina de reciclagem</t>
  </si>
  <si>
    <t>Percurso do centro até usina de reciclagem (ida e volta)</t>
  </si>
  <si>
    <t>Índice de Compactação, usualmente igual a 3 para compactadores e 1 para caçamba;</t>
  </si>
  <si>
    <t>Adotou-se um aproveitamento próximo de 70%</t>
  </si>
  <si>
    <t>1 unidade para cada caminhão</t>
  </si>
  <si>
    <t xml:space="preserve">Medidas conforme Mapa </t>
  </si>
  <si>
    <t>População total (IBGE-2025)</t>
  </si>
  <si>
    <t>DIMENSIONAMENTO - COLETA RURAL (DISTRITOS)</t>
  </si>
  <si>
    <t>Considerou-se 2 garis coletores para cada camimhão na área rural</t>
  </si>
  <si>
    <t xml:space="preserve">Considerou-se 1 unidade reserva para cada equipe de gari coletor </t>
  </si>
  <si>
    <t>Variável (planilha)</t>
  </si>
  <si>
    <t>Percurso estimado total por caminhão no mês</t>
  </si>
  <si>
    <t>População de área urbana em kg/hab.dia  * Geração de lixo per capita em /1000</t>
  </si>
  <si>
    <t>Rota/Dia de Coleta</t>
  </si>
  <si>
    <t>Rota 01 / Segunda</t>
  </si>
  <si>
    <t>Rota 02 / Terça</t>
  </si>
  <si>
    <t>Caminhão (Trajetos da rota de acesso às comunidades até a usina de reciclagem)</t>
  </si>
  <si>
    <t>Deslocamento de acesso às comuidades (Km/dia)</t>
  </si>
  <si>
    <t>Deslocamento Interno (km/dia)</t>
  </si>
  <si>
    <t>Deslocamento Mensal (Km/mês)</t>
  </si>
  <si>
    <t>DESLOCAMENTO MENSAL TOTAL (KM/MÊS):</t>
  </si>
  <si>
    <t>População estimada (habitantes)</t>
  </si>
  <si>
    <t>Geração RSU per capita/dia (KG/hab./dia)</t>
  </si>
  <si>
    <t>kg/hab./dia</t>
  </si>
  <si>
    <t>Adotado 0,40 kg/hab./dia, considerando que o lixo domiciliar na área rural é menor que o urbano</t>
  </si>
  <si>
    <t>PROC-IBR-RSU 001-2017 ---&gt; Índice : 0,45 a 0,70 kg/hab.dia para municípios com menos de 200.000 habitantes - adotado 0,50 kg/hab./dia</t>
  </si>
  <si>
    <t>Rota 04 / Quinta</t>
  </si>
  <si>
    <t>Rota 05 / Sexta</t>
  </si>
  <si>
    <t>Rota 03 / Quarta</t>
  </si>
  <si>
    <t>Peso da coleta (ton/coleta)</t>
  </si>
  <si>
    <t xml:space="preserve">Adotou-se um aproveitamento próximo de 70% </t>
  </si>
  <si>
    <t>Peso mensal total da coleta rural</t>
  </si>
  <si>
    <t>Número de semanas no mês</t>
  </si>
  <si>
    <t>semanas/mês</t>
  </si>
  <si>
    <t>dias/ano</t>
  </si>
  <si>
    <t>Dias de Coleta</t>
  </si>
  <si>
    <t>RSU -Toneladas/rota</t>
  </si>
  <si>
    <t>Povoados/Distritos e Localidades</t>
  </si>
  <si>
    <t>Comprimento das rotas (km)</t>
  </si>
  <si>
    <t>Periodicidade de coleta (dias/semana)</t>
  </si>
  <si>
    <t>Distância do centro de massa (Garagem) ao setor de coleta -  (km)</t>
  </si>
  <si>
    <t>Distância do setor de coleta à usina de reciclagem (km)</t>
  </si>
  <si>
    <t>Idas à Usina de reciclagem</t>
  </si>
  <si>
    <t>Percurso total mensal (km/mês)</t>
  </si>
  <si>
    <t>DIMENSIONAMENTO- COLETA URBANA</t>
  </si>
  <si>
    <t>Dado obtido através do cadastro de pessoas das comunidades rurais repassados pela Secretaria de Saúde</t>
  </si>
  <si>
    <t>População estimada da área rural = Pop. Rural</t>
  </si>
  <si>
    <t>Dados da planilha de dimensionamento</t>
  </si>
  <si>
    <t>Considerou-se a partir da quantidade de lixo coletado por dia para cada rota</t>
  </si>
  <si>
    <t>toneladas/coleta</t>
  </si>
  <si>
    <t xml:space="preserve">Coletas por semana </t>
  </si>
  <si>
    <t>Peso diário (Qs) * 7 (quantidade de dias que houve geração de lixo)/quantidade de coletas por semana</t>
  </si>
  <si>
    <t>Peso da coleta = Qc</t>
  </si>
  <si>
    <t>Resumo da Equipe</t>
  </si>
  <si>
    <t>Média de Preços- Pneus</t>
  </si>
  <si>
    <t>https://www.amazon.com.br/Escrivaninha-Office-Gavetas-Not%C3%A1vel-M%C3%B3veis/dp/B08CXGG15W</t>
  </si>
  <si>
    <t>https://www.casasbahia.com.br/mesa-office-2-gavetas-51015-notavel/p/1576843649?utm_medium=Cpc&amp;utm_source=google_freelisting&amp;IdSku=1576843649&amp;idLojista=31534&amp;tipoLojista=3P&amp;srsltid=AfmBOoqtUEyQUwNANKjhByFCD2Zs_-u7ha9PHYNMYv7zeUMIOHcqdU44sV4</t>
  </si>
  <si>
    <t>https://www.magazineluiza.com.br/mesa-para-computador-escrivaninha-home-office-estudos-2-gavetas-1-nicho-escritorio-marrom-escuro-notavel/p/ge7fg1g7bb/mo/meav/?seller_id=arede&amp;srsltid=AfmBOorm_AHgrwfnGAaoof3kd8u83QKJSxnOSU-giTh4Tv-jVFvnJZnb5-I</t>
  </si>
  <si>
    <t>https://paranettelecom.com.br/</t>
  </si>
  <si>
    <t>https://contratar.onnetmais.com.br/promocao/ads/planos?cidade=Presidente+Oleg%C3%A1rio&amp;uf=MG</t>
  </si>
  <si>
    <t>Cadeira de escritório</t>
  </si>
  <si>
    <t>Mesa de escritório</t>
  </si>
  <si>
    <t>https://www.magazineluiza.com.br/cadeira-escritorio-executiva-slin-material-sintetico-dvl-office/p/cje0d1kj75/mo/moec/?utm_source=google&amp;utm_medium=cpc&amp;utm_campaign=google_eco_apl_pro_app_none_none_none_none-geral-catalogoapp&amp;utm_term=76792&amp;utm_content=catalogoapp_con_amp_catalogogoogle_cat_tod_none&amp;partner_id=76792&amp;seller_id=dvlofficecadeiraseestofados&amp;srsltid=AfmBOooLTp95WeJIcJh65165UmIfjUjv-MZxH82654Yg-OhdXGEnNFsgYNo</t>
  </si>
  <si>
    <t>https://www.amazon.com.br/DVL-OFFICE-Escrit%C3%B3rio-Executiva-Dispon%C3%ADveis/dp/B0DTVLTQW7?source=ps-sl-shoppingads-lpcontext&amp;ref_=fplfs&amp;smid=A2FP1IXLL4LF9M&amp;th=1</t>
  </si>
  <si>
    <t>https://www.dvloffice.com.br/cadeira-executiva-slin-corino-155?srsltid=AfmBOoqI-u5EPdTy_UYkI12emci-Oari4mKOhpI2dhJfve-Zsn7PhCnD6ao</t>
  </si>
  <si>
    <t>Dvl Office</t>
  </si>
  <si>
    <t>Valor médio com depreciação de 60 meses</t>
  </si>
  <si>
    <t>Casas Bahia</t>
  </si>
  <si>
    <t>https://www.amazon.com.br/Arm%C3%A1rio-Escrit%C3%B3rio-Portas-Kappesberg-Itapu%C3%A3/dp/B0C28TFF6G?source=ps-sl-shoppingads-lpcontext&amp;ref_=fplfs&amp;psc=1&amp;smid=A5JVAXGT9G2CN</t>
  </si>
  <si>
    <t>https://www.leroymerlin.com.br/armario-versatil-2-pt-marrom-161-cm_1570583565?region=outros</t>
  </si>
  <si>
    <t>https://www.angeloni.com.br/eletro/armario-office-versatil-alto-com-chave-1013a-kappesberg-itapua-448120/p</t>
  </si>
  <si>
    <t>Leroy Merlin</t>
  </si>
  <si>
    <t>Angeloni</t>
  </si>
  <si>
    <t>Água (Cálculo pelo consumo, conforme tarifas da COPASA)</t>
  </si>
  <si>
    <t>Energia (Cálculo de consumo, conforme tarifas da CEMIG)</t>
  </si>
  <si>
    <t>Telefone e Internet (Valor médio de empresas locais)</t>
  </si>
  <si>
    <t>Mobiliário para escritório (Valor de pesquisa pela internet</t>
  </si>
  <si>
    <t>Utilitário Pickup (Composição em anexo)</t>
  </si>
  <si>
    <t>Aluguel de imóvel (Conforme observação)</t>
  </si>
  <si>
    <t>Material</t>
  </si>
  <si>
    <t>Pacote</t>
  </si>
  <si>
    <t>Itens de Limpeza (Processo Licitatório 069/2025 - Presidente Olegário )</t>
  </si>
  <si>
    <t>VALOR TOTAL (R$/mês)</t>
  </si>
  <si>
    <t>Custo Total  (R$)</t>
  </si>
  <si>
    <t>Custo Un. (R$)</t>
  </si>
  <si>
    <t>Quant. (mês)</t>
  </si>
  <si>
    <r>
      <rPr>
        <b/>
        <sz val="12"/>
        <color theme="1"/>
        <rFont val="Calibri"/>
        <family val="2"/>
      </rPr>
      <t>Observação:</t>
    </r>
    <r>
      <rPr>
        <sz val="12"/>
        <color theme="1"/>
        <rFont val="Calibri"/>
        <family val="2"/>
      </rPr>
      <t xml:space="preserve"> O valor de referência para aluguel de imóvel foi obtido através de contratos de locação realizados pela Prefeitura Municipal, considerando características similares ao pretendido como: região central, local para a guarda dos caminhões e para instalação do escritório. (Contrato 022/2022)</t>
    </r>
  </si>
  <si>
    <t>Itens de limpeza (Referência de Contratações da prefeitura)</t>
  </si>
  <si>
    <t>* 3 funcionários no local</t>
  </si>
  <si>
    <t>Transporte (2 caminhões)</t>
  </si>
  <si>
    <t>Mão de obra (2 equipes)</t>
  </si>
  <si>
    <t>Transporte (1 caminhão)</t>
  </si>
  <si>
    <t>Mão de obra (1 equipe)</t>
  </si>
  <si>
    <t>O preço dos pneus foi obtido por meio de  pesquisa de preços na internet. (Pneu sem câmara)</t>
  </si>
  <si>
    <t>Preço médio gasolina (Abril/2026):</t>
  </si>
  <si>
    <t>Preço médio diesel (Abril/2026):</t>
  </si>
  <si>
    <t>Preço unitário c/ BDI R$/mês</t>
  </si>
  <si>
    <t>CÁLCULO DO CUSTO DO VEÍCULO DE APOIO</t>
  </si>
  <si>
    <t>DESCRIÇÃO DAS ATIVIDADES</t>
  </si>
  <si>
    <t>VALOR</t>
  </si>
  <si>
    <t>% ITEM</t>
  </si>
  <si>
    <t>Valores Totais</t>
  </si>
  <si>
    <t>CRONOGRAMA FÍSICO FINANCEIRO</t>
  </si>
  <si>
    <t>Valor Unitário (R$)</t>
  </si>
  <si>
    <t>Valor mensal
com BDI
(R$/mês)</t>
  </si>
  <si>
    <t>Data:</t>
  </si>
  <si>
    <t>Bancos:</t>
  </si>
  <si>
    <t>Revisão:</t>
  </si>
  <si>
    <t>Tipo de Obra:</t>
  </si>
  <si>
    <t>Percentual de base de cálculo para o ISS:</t>
  </si>
  <si>
    <t>Alíquota do ISS:</t>
  </si>
  <si>
    <t>Itens</t>
  </si>
  <si>
    <t>Siglas</t>
  </si>
  <si>
    <t>Adotado (%)</t>
  </si>
  <si>
    <t>2º Quartil</t>
  </si>
  <si>
    <t>Administração Central</t>
  </si>
  <si>
    <t>AC</t>
  </si>
  <si>
    <t>Seguro e Garantia</t>
  </si>
  <si>
    <t>SG</t>
  </si>
  <si>
    <t>Risco</t>
  </si>
  <si>
    <t>R</t>
  </si>
  <si>
    <t>DF</t>
  </si>
  <si>
    <t>Lucro</t>
  </si>
  <si>
    <t>L</t>
  </si>
  <si>
    <t>Tributos (COFINS 3,00% e PIS 0,65%)</t>
  </si>
  <si>
    <t>CP</t>
  </si>
  <si>
    <t>Tributos (ISS para obras 3,00%)</t>
  </si>
  <si>
    <t>ISS</t>
  </si>
  <si>
    <t>Tributos (Sem Desoneração)</t>
  </si>
  <si>
    <t>CPRB</t>
  </si>
  <si>
    <t>BDI SEM DESONERAÇÃO</t>
  </si>
  <si>
    <t>O BDI desta planilha foi calculado conforme as diretrizes do Acórdão 2622/2013 - TCU, aplicável à tipologia construção de edifícios</t>
  </si>
  <si>
    <t>Fórmula:</t>
  </si>
  <si>
    <t>BDI=</t>
  </si>
  <si>
    <t>(1+AC+S+R+G)*(1+DF)*1+L)</t>
  </si>
  <si>
    <t>(1-CP-ISS-CPRB)</t>
  </si>
  <si>
    <t>COMPOSIÇÃO DO BDI - Bonificações e Despesas Indiretas
SEM DESONERAÇÃO
Secretaria Municipal de Obras e Serviços Públicos</t>
  </si>
  <si>
    <t>Serviço:</t>
  </si>
  <si>
    <t xml:space="preserve">Coleta de Resíduos Sólidos Urbanos </t>
  </si>
  <si>
    <t>SINAPI (01/2026) - CONVENÇÕES COLETIVAS DE TRABALHO 2026 - COTAÇÕES DE MERCADO</t>
  </si>
  <si>
    <t>CONSTRUÇÃO DE REDES DE ABASTECIMENTO DE ÁGUA, COLETA DE ESGOTO E CONSTRUÇÕES CORRELATAS</t>
  </si>
  <si>
    <t xml:space="preserve"> </t>
  </si>
  <si>
    <t>Somatório da rota de coleta interna + rotas de acesso</t>
  </si>
  <si>
    <r>
      <rPr>
        <b/>
        <i/>
        <sz val="11"/>
        <color theme="1"/>
        <rFont val="Calibri"/>
        <family val="2"/>
      </rPr>
      <t>Responsáveis Técnicos:</t>
    </r>
    <r>
      <rPr>
        <i/>
        <sz val="11"/>
        <color theme="1"/>
        <rFont val="Calibri"/>
        <family val="2"/>
      </rPr>
      <t xml:space="preserve"> Flávio Diórgenes Cassimiro - Eng. Civil CREA-MG: 253.560/D
                                          Laura Fernanda Silva - Eng. Civil CREA-MG: 227.848/D</t>
    </r>
  </si>
  <si>
    <t xml:space="preserve">PREFEITURA MUNICIPAL DE PRESIDENTE OLEGÁRIO-MG 
SECRETARIA MUNICIPAL DE OBRAS E SERVIÇOS PÚBLICOS
</t>
  </si>
  <si>
    <r>
      <rPr>
        <u/>
        <sz val="12"/>
        <rFont val="Calibri"/>
        <family val="2"/>
      </rPr>
      <t>OBJETO:</t>
    </r>
    <r>
      <rPr>
        <sz val="12"/>
        <rFont val="Calibri"/>
        <family val="2"/>
      </rPr>
      <t xml:space="preserve"> EXECUÇÃO DE SERVIÇOS CONTÍNUOS DE COLETA MANUAL E TRANSPORTE DE RESÍDUOS SÓLIDOS URBANOS DOMICILIARES E EQUIPARADOS, ABRANGENDO A ZONA URBANA, CHACREAMENTOS E DISTRITOS/POVOADOS DO MUNICÍPIO DE PRESIDENTE OLEGÁRIO/MG, INCLUINDO A ALDEIA INDÍGENA XUKURU KARIRI, COM DESTINAÇÃO NA USINA MUNICIPAL DE RECICLAGEM E COMPOSTAGEM LOCALIZADA NO BAIRRO AMÉRICO CAETANO.</t>
    </r>
  </si>
  <si>
    <t>CRONOGRAMA DE COLETA DE RSU</t>
  </si>
  <si>
    <t>ADMINISTRAÇÃO LOCAL -RSU</t>
  </si>
  <si>
    <t>COTAÇÕES E PREÇOS DE REFERÊNCIA</t>
  </si>
  <si>
    <t>VEÍCULO:</t>
  </si>
  <si>
    <t xml:space="preserve">Carga Pesada </t>
  </si>
  <si>
    <t>COTAÇÕES DE PNEUS:</t>
  </si>
  <si>
    <t>Veículo</t>
  </si>
  <si>
    <t>Seguro contra terceiros</t>
  </si>
  <si>
    <t>Pneus</t>
  </si>
  <si>
    <t>Preço Médio - Pneu 195/65 R15 91H</t>
  </si>
  <si>
    <t>Valor Mensal Médio (12 meses)</t>
  </si>
  <si>
    <t>PREÇOS - INTERNET</t>
  </si>
  <si>
    <t>PREÇOS - ESCRIVANINHA</t>
  </si>
  <si>
    <t>PREÇOS - CADEIRAS</t>
  </si>
  <si>
    <t>Custo Médio- Cadeira de escritório</t>
  </si>
  <si>
    <t>Água Sanitária 2L (Item 3)</t>
  </si>
  <si>
    <t>Detergente Líquido Neutro (Item 37)</t>
  </si>
  <si>
    <t>Saco de Lixo 15 L com 20 un. (Item 107)</t>
  </si>
  <si>
    <t>Bucha Dupla face (Item 17)</t>
  </si>
  <si>
    <t>Pano de Limpeza para piso (Item 81)</t>
  </si>
  <si>
    <t>Papel Higiênico (Item 83)</t>
  </si>
  <si>
    <t>Vassoura de Piaçava (Item 126)</t>
  </si>
  <si>
    <t>Pá de Lixo plástica com cabo longo (Item 79)</t>
  </si>
  <si>
    <t>Rodo com base de plástico e borracha dupla 60 cm (Item 94)</t>
  </si>
  <si>
    <t>Velocidade média de coleta interna</t>
  </si>
  <si>
    <t>Velocidade média de de acesso à Usina</t>
  </si>
  <si>
    <t>Adotada</t>
  </si>
  <si>
    <t>25 km/h</t>
  </si>
  <si>
    <t>25 Km/h</t>
  </si>
  <si>
    <t xml:space="preserve">ENCARGOS SOCIAIS </t>
  </si>
  <si>
    <t>COTAÇÕES</t>
  </si>
  <si>
    <t>Calça</t>
  </si>
  <si>
    <t>Calçado</t>
  </si>
  <si>
    <t>Capa de chuva</t>
  </si>
  <si>
    <t>Luva de proteção</t>
  </si>
  <si>
    <t>Protetor Solar</t>
  </si>
  <si>
    <t>Seguro Contra Acidentes de Trabalho</t>
  </si>
  <si>
    <t xml:space="preserve">SECONCI </t>
  </si>
  <si>
    <t>Repouso Semanal Remunerado</t>
  </si>
  <si>
    <t>Feriados</t>
  </si>
  <si>
    <t>Faltas Justificadas</t>
  </si>
  <si>
    <t>Dias de Chuvas</t>
  </si>
  <si>
    <t>Auxílio - Enfermidade</t>
  </si>
  <si>
    <t>13º Salário</t>
  </si>
  <si>
    <t>Licença Paternidade</t>
  </si>
  <si>
    <t>Auxílio Acidente de Trabalho</t>
  </si>
  <si>
    <t>Férias Gozadas</t>
  </si>
  <si>
    <t>Salário Maternidade</t>
  </si>
  <si>
    <t>Não incide</t>
  </si>
  <si>
    <t xml:space="preserve"> Aviso Prévio Indenizado</t>
  </si>
  <si>
    <t>Aviso Prévio Trabalhado</t>
  </si>
  <si>
    <t>Férias Indenizadas</t>
  </si>
  <si>
    <t>Depósito Rescisão Sem Justa Causa</t>
  </si>
  <si>
    <t>Indenização Adicional</t>
  </si>
  <si>
    <t>TOTAL GERAL DE ENCARGOS SOCIAIS (A+B+C+D)</t>
  </si>
  <si>
    <t xml:space="preserve">GRUPO D </t>
  </si>
  <si>
    <t xml:space="preserve">GRUPO C </t>
  </si>
  <si>
    <t xml:space="preserve">GRUPO B </t>
  </si>
  <si>
    <t xml:space="preserve">GRUPO A </t>
  </si>
  <si>
    <t>Reincidência de Grupo A sobre Grupo B (sem considerar INNS sobre 13º, conforme Lei nº 14.973/2024)</t>
  </si>
  <si>
    <t>Reincidência de Grupo A sobre Aviso Prévio Trabalhado e Reincidência do FGTS sobre Aviso Prévio Indenizado</t>
  </si>
  <si>
    <t>CÁLCULO DO CUSTO UNITÁRIO DO CAMINHÃO BASCULANTE RURAL</t>
  </si>
  <si>
    <t>Foi considerada a base de dados da FIPE, considerando a data base do
orçamento (tabela de abril de 2026), para a obtenção do custo de
aquisição do modelo que a Administração adotou: VW 24-280 E Constel. 6x2 2p (diesel)(E5) -2017 Diesel, em consonância ao que determina o Art. 23 da Lei
14.133/2021.</t>
  </si>
  <si>
    <t>Conforme cálculo Nf com arredodamento para o próximo número inteiro</t>
  </si>
  <si>
    <t>Taxa de Licenciamento Anual 2026 https://www.fazenda.mg.gov.br/empresas/taxas/taxa_licenciamento/</t>
  </si>
  <si>
    <t>Neste foi considerado 25% do valor do veículo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</si>
</sst>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44" formatCode="_-&quot;R$&quot;\ * #,##0.00_-;\-&quot;R$&quot;\ * #,##0.00_-;_-&quot;R$&quot;\ * &quot;-&quot;??_-;_-@_-"/>
    <numFmt numFmtId="164" formatCode="0.0"/>
    <numFmt numFmtId="165" formatCode="&quot;R$&quot;\ #,##0.00"/>
    <numFmt numFmtId="166" formatCode="0.0%"/>
    <numFmt numFmtId="167" formatCode="&quot;R$&quot;\ #,##0.000"/>
    <numFmt numFmtId="168" formatCode="_-* #,##0.00_-;\-* #,##0.00_-;_-* \-??_-;_-@_-"/>
    <numFmt numFmtId="169" formatCode="_(&quot;R$&quot;* #,##0.00_);_(&quot;R$&quot;* \(#,##0.00\);_(&quot;R$&quot;* \-??_);_(@_)"/>
    <numFmt numFmtId="170" formatCode="&quot;R$ &quot;#,##0.00\ "/>
    <numFmt numFmtId="171" formatCode="#,##0.0&quot; h&quot;"/>
    <numFmt numFmtId="172" formatCode="&quot;R$ &quot;#,##0.00"/>
    <numFmt numFmtId="173" formatCode="0.0000"/>
    <numFmt numFmtId="174" formatCode="#,##0&quot; conj&quot;"/>
    <numFmt numFmtId="175" formatCode="#,##0.00&quot; h&quot;"/>
    <numFmt numFmtId="176" formatCode="_-&quot;R$&quot;* #,##0.00_-;\-&quot;R$&quot;* #,##0.00_-;_-&quot;R$&quot;* &quot;-&quot;??_-;_-@_-"/>
    <numFmt numFmtId="177" formatCode="0\)"/>
    <numFmt numFmtId="178" formatCode="_(&quot;R$ &quot;* #,##0.00_);_(&quot;R$ &quot;* \(#,##0.00\);_(&quot;R$ &quot;* &quot;-&quot;??_);_(@_)"/>
    <numFmt numFmtId="179" formatCode="0.000"/>
    <numFmt numFmtId="180" formatCode="[$-F400]h:mm:ss\ AM/PM"/>
  </numFmts>
  <fonts count="63">
    <font>
      <sz val="11"/>
      <color theme="1"/>
      <name val="Aptos Narrow"/>
      <family val="2"/>
      <scheme val="minor"/>
    </font>
    <font>
      <sz val="11"/>
      <color theme="1"/>
      <name val="Aptos Narrow"/>
      <family val="2"/>
      <scheme val="minor"/>
    </font>
    <font>
      <b/>
      <sz val="11"/>
      <color theme="1"/>
      <name val="Aptos Narrow"/>
      <family val="2"/>
      <scheme val="minor"/>
    </font>
    <font>
      <sz val="10"/>
      <name val="Arial"/>
      <family val="2"/>
    </font>
    <font>
      <sz val="10"/>
      <name val="Aptos Narrow"/>
      <family val="2"/>
      <scheme val="minor"/>
    </font>
    <font>
      <sz val="10"/>
      <color theme="1"/>
      <name val="Aptos Narrow"/>
      <family val="2"/>
      <scheme val="minor"/>
    </font>
    <font>
      <b/>
      <sz val="14"/>
      <color rgb="FF000000"/>
      <name val="Aptos Narrow"/>
      <family val="2"/>
      <scheme val="minor"/>
    </font>
    <font>
      <sz val="11"/>
      <color rgb="FF000000"/>
      <name val="Calibri"/>
      <family val="2"/>
      <charset val="1"/>
    </font>
    <font>
      <sz val="11"/>
      <color rgb="FFFFFFFF"/>
      <name val="Calibri"/>
      <family val="2"/>
      <charset val="1"/>
    </font>
    <font>
      <b/>
      <sz val="12"/>
      <color rgb="FF000000"/>
      <name val="Aptos Narrow"/>
      <family val="2"/>
      <scheme val="minor"/>
    </font>
    <font>
      <sz val="12"/>
      <color rgb="FF000000"/>
      <name val="Aptos Narrow"/>
      <family val="2"/>
      <scheme val="minor"/>
    </font>
    <font>
      <b/>
      <sz val="12"/>
      <color theme="1"/>
      <name val="Aptos Narrow"/>
      <family val="2"/>
      <scheme val="minor"/>
    </font>
    <font>
      <b/>
      <sz val="14"/>
      <color theme="1"/>
      <name val="Aptos Narrow"/>
      <family val="2"/>
      <scheme val="minor"/>
    </font>
    <font>
      <sz val="11"/>
      <color rgb="FF000000"/>
      <name val="Aptos Narrow"/>
      <family val="2"/>
      <scheme val="minor"/>
    </font>
    <font>
      <sz val="11"/>
      <name val="Aptos Narrow"/>
      <family val="2"/>
      <scheme val="minor"/>
    </font>
    <font>
      <b/>
      <sz val="10"/>
      <name val="Aptos Narrow"/>
      <family val="2"/>
      <scheme val="minor"/>
    </font>
    <font>
      <sz val="10"/>
      <color theme="1"/>
      <name val="Arial"/>
      <family val="2"/>
    </font>
    <font>
      <sz val="8"/>
      <name val="Aptos Narrow"/>
      <family val="2"/>
      <scheme val="minor"/>
    </font>
    <font>
      <b/>
      <sz val="16"/>
      <color theme="1"/>
      <name val="Aptos Narrow"/>
      <family val="2"/>
      <scheme val="minor"/>
    </font>
    <font>
      <b/>
      <sz val="11"/>
      <color theme="1"/>
      <name val="Aptos Narrow"/>
      <scheme val="minor"/>
    </font>
    <font>
      <sz val="11"/>
      <color theme="1"/>
      <name val="Aptos Narrow"/>
      <scheme val="minor"/>
    </font>
    <font>
      <sz val="11"/>
      <color rgb="FF000000"/>
      <name val="Aptos Narrow"/>
      <scheme val="minor"/>
    </font>
    <font>
      <b/>
      <sz val="11"/>
      <color rgb="FF000000"/>
      <name val="Aptos Narrow"/>
      <scheme val="minor"/>
    </font>
    <font>
      <u/>
      <sz val="11"/>
      <color theme="10"/>
      <name val="Aptos Narrow"/>
      <family val="2"/>
      <scheme val="minor"/>
    </font>
    <font>
      <b/>
      <sz val="12"/>
      <color rgb="FF000000"/>
      <name val="Calibri"/>
      <family val="2"/>
    </font>
    <font>
      <b/>
      <sz val="12"/>
      <color theme="1"/>
      <name val="Calibri"/>
      <family val="2"/>
    </font>
    <font>
      <sz val="12"/>
      <color rgb="FF000000"/>
      <name val="Calibri"/>
      <family val="2"/>
    </font>
    <font>
      <sz val="11"/>
      <color theme="1"/>
      <name val="Calibri"/>
      <family val="2"/>
    </font>
    <font>
      <b/>
      <sz val="16"/>
      <color theme="1"/>
      <name val="Calibri"/>
      <family val="2"/>
    </font>
    <font>
      <b/>
      <sz val="14"/>
      <color theme="1"/>
      <name val="Calibri"/>
      <family val="2"/>
    </font>
    <font>
      <b/>
      <sz val="11"/>
      <color theme="1"/>
      <name val="Calibri"/>
      <family val="2"/>
    </font>
    <font>
      <b/>
      <sz val="11"/>
      <name val="Calibri"/>
      <family val="2"/>
    </font>
    <font>
      <b/>
      <sz val="12"/>
      <name val="Calibri"/>
      <family val="2"/>
    </font>
    <font>
      <sz val="11"/>
      <name val="Calibri"/>
      <family val="2"/>
    </font>
    <font>
      <b/>
      <sz val="16"/>
      <name val="Calibri"/>
      <family val="2"/>
    </font>
    <font>
      <sz val="10"/>
      <name val="Calibri"/>
      <family val="2"/>
    </font>
    <font>
      <sz val="11"/>
      <color rgb="FF000000"/>
      <name val="Calibri"/>
      <family val="2"/>
    </font>
    <font>
      <b/>
      <sz val="11"/>
      <color rgb="FF000000"/>
      <name val="Calibri"/>
      <family val="2"/>
    </font>
    <font>
      <i/>
      <sz val="11"/>
      <name val="Calibri"/>
      <family val="2"/>
    </font>
    <font>
      <sz val="18"/>
      <color rgb="FF000000"/>
      <name val="Calibri"/>
      <family val="2"/>
    </font>
    <font>
      <b/>
      <sz val="10"/>
      <color rgb="FF000000"/>
      <name val="Calibri"/>
      <family val="2"/>
    </font>
    <font>
      <sz val="10"/>
      <color rgb="FF000000"/>
      <name val="Calibri"/>
      <family val="2"/>
    </font>
    <font>
      <sz val="10"/>
      <color rgb="FFFF0000"/>
      <name val="Calibri"/>
      <family val="2"/>
    </font>
    <font>
      <sz val="10"/>
      <color theme="1"/>
      <name val="Calibri"/>
      <family val="2"/>
    </font>
    <font>
      <sz val="10"/>
      <color theme="1" tint="4.9989318521683403E-2"/>
      <name val="Calibri"/>
      <family val="2"/>
    </font>
    <font>
      <b/>
      <sz val="18"/>
      <color theme="1"/>
      <name val="Calibri"/>
      <family val="2"/>
    </font>
    <font>
      <b/>
      <sz val="18"/>
      <name val="Calibri"/>
      <family val="2"/>
    </font>
    <font>
      <sz val="12"/>
      <color theme="1"/>
      <name val="Calibri"/>
      <family val="2"/>
    </font>
    <font>
      <b/>
      <sz val="16"/>
      <color rgb="FF000000"/>
      <name val="Calibri"/>
      <family val="2"/>
    </font>
    <font>
      <b/>
      <sz val="16"/>
      <color theme="6" tint="0.39997558519241921"/>
      <name val="Calibri"/>
      <family val="2"/>
    </font>
    <font>
      <b/>
      <sz val="14"/>
      <color rgb="FF00B050"/>
      <name val="Calibri"/>
      <family val="2"/>
    </font>
    <font>
      <sz val="12"/>
      <name val="Calibri"/>
      <family val="2"/>
    </font>
    <font>
      <b/>
      <sz val="14"/>
      <color rgb="FF000000"/>
      <name val="Calibri"/>
      <family val="2"/>
    </font>
    <font>
      <b/>
      <sz val="14"/>
      <name val="Calibri"/>
      <family val="2"/>
    </font>
    <font>
      <sz val="14"/>
      <name val="Calibri"/>
      <family val="2"/>
    </font>
    <font>
      <sz val="14"/>
      <color theme="1"/>
      <name val="Calibri"/>
      <family val="2"/>
    </font>
    <font>
      <i/>
      <sz val="11"/>
      <color theme="1"/>
      <name val="Calibri"/>
      <family val="2"/>
    </font>
    <font>
      <b/>
      <i/>
      <sz val="11"/>
      <color theme="1"/>
      <name val="Calibri"/>
      <family val="2"/>
    </font>
    <font>
      <b/>
      <sz val="10"/>
      <name val="Calibri"/>
      <family val="2"/>
    </font>
    <font>
      <sz val="11"/>
      <color rgb="FFFF0000"/>
      <name val="Calibri"/>
      <family val="2"/>
    </font>
    <font>
      <u/>
      <sz val="11"/>
      <color theme="10"/>
      <name val="Calibri"/>
      <family val="2"/>
    </font>
    <font>
      <b/>
      <sz val="16"/>
      <color rgb="FF000000"/>
      <name val="Aptos Narrow"/>
      <family val="2"/>
      <scheme val="minor"/>
    </font>
    <font>
      <u/>
      <sz val="12"/>
      <name val="Calibri"/>
      <family val="2"/>
    </font>
  </fonts>
  <fills count="13">
    <fill>
      <patternFill patternType="none"/>
    </fill>
    <fill>
      <patternFill patternType="gray125"/>
    </fill>
    <fill>
      <patternFill patternType="solid">
        <fgColor rgb="FFFFFF00"/>
        <bgColor indexed="64"/>
      </patternFill>
    </fill>
    <fill>
      <patternFill patternType="solid">
        <fgColor rgb="FFFF0000"/>
        <bgColor rgb="FF993300"/>
      </patternFill>
    </fill>
    <fill>
      <patternFill patternType="solid">
        <fgColor theme="0"/>
        <bgColor indexed="64"/>
      </patternFill>
    </fill>
    <fill>
      <patternFill patternType="solid">
        <fgColor theme="0"/>
        <bgColor rgb="FFFFFFCC"/>
      </patternFill>
    </fill>
    <fill>
      <patternFill patternType="solid">
        <fgColor rgb="FFFFFFCC"/>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rgb="FFFFC000"/>
        <bgColor indexed="64"/>
      </patternFill>
    </fill>
    <fill>
      <patternFill patternType="solid">
        <fgColor theme="0" tint="-0.14999847407452621"/>
        <bgColor indexed="64"/>
      </patternFill>
    </fill>
    <fill>
      <patternFill patternType="solid">
        <fgColor theme="2" tint="-0.249977111117893"/>
        <bgColor indexed="64"/>
      </patternFill>
    </fill>
    <fill>
      <patternFill patternType="solid">
        <fgColor theme="2" tint="-0.249977111117893"/>
        <bgColor rgb="FF95B3D7"/>
      </patternFill>
    </fill>
  </fills>
  <borders count="14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auto="1"/>
      </left>
      <right style="medium">
        <color auto="1"/>
      </right>
      <top style="medium">
        <color auto="1"/>
      </top>
      <bottom style="medium">
        <color auto="1"/>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auto="1"/>
      </right>
      <top/>
      <bottom style="thin">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thin">
        <color indexed="64"/>
      </right>
      <top style="thin">
        <color indexed="64"/>
      </top>
      <bottom style="medium">
        <color indexed="64"/>
      </bottom>
      <diagonal/>
    </border>
    <border>
      <left style="thin">
        <color auto="1"/>
      </left>
      <right style="thin">
        <color auto="1"/>
      </right>
      <top style="thin">
        <color auto="1"/>
      </top>
      <bottom style="medium">
        <color auto="1"/>
      </bottom>
      <diagonal/>
    </border>
    <border>
      <left style="thin">
        <color indexed="64"/>
      </left>
      <right style="medium">
        <color indexed="64"/>
      </right>
      <top style="thin">
        <color indexed="64"/>
      </top>
      <bottom style="medium">
        <color indexed="64"/>
      </bottom>
      <diagonal/>
    </border>
    <border>
      <left style="medium">
        <color auto="1"/>
      </left>
      <right/>
      <top style="thin">
        <color auto="1"/>
      </top>
      <bottom style="thin">
        <color auto="1"/>
      </bottom>
      <diagonal/>
    </border>
    <border>
      <left style="medium">
        <color auto="1"/>
      </left>
      <right/>
      <top style="medium">
        <color auto="1"/>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medium">
        <color auto="1"/>
      </right>
      <top/>
      <bottom/>
      <diagonal/>
    </border>
    <border>
      <left style="medium">
        <color auto="1"/>
      </left>
      <right style="thin">
        <color auto="1"/>
      </right>
      <top style="thin">
        <color auto="1"/>
      </top>
      <bottom style="medium">
        <color auto="1"/>
      </bottom>
      <diagonal/>
    </border>
    <border>
      <left/>
      <right style="medium">
        <color auto="1"/>
      </right>
      <top style="medium">
        <color auto="1"/>
      </top>
      <bottom style="thin">
        <color indexed="64"/>
      </bottom>
      <diagonal/>
    </border>
    <border>
      <left style="medium">
        <color auto="1"/>
      </left>
      <right/>
      <top/>
      <bottom/>
      <diagonal/>
    </border>
    <border>
      <left style="medium">
        <color indexed="64"/>
      </left>
      <right/>
      <top/>
      <bottom style="thin">
        <color indexed="64"/>
      </bottom>
      <diagonal/>
    </border>
    <border>
      <left/>
      <right style="medium">
        <color indexed="64"/>
      </right>
      <top/>
      <bottom style="thin">
        <color auto="1"/>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style="medium">
        <color indexed="64"/>
      </bottom>
      <diagonal/>
    </border>
    <border>
      <left/>
      <right/>
      <top style="medium">
        <color indexed="64"/>
      </top>
      <bottom style="thin">
        <color auto="1"/>
      </bottom>
      <diagonal/>
    </border>
    <border>
      <left style="dotted">
        <color auto="1"/>
      </left>
      <right style="dotted">
        <color auto="1"/>
      </right>
      <top style="dotted">
        <color auto="1"/>
      </top>
      <bottom style="dotted">
        <color auto="1"/>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auto="1"/>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style="thin">
        <color auto="1"/>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auto="1"/>
      </left>
      <right style="thin">
        <color auto="1"/>
      </right>
      <top/>
      <bottom style="medium">
        <color auto="1"/>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auto="1"/>
      </right>
      <top style="medium">
        <color indexed="64"/>
      </top>
      <bottom/>
      <diagonal/>
    </border>
    <border>
      <left style="thin">
        <color indexed="64"/>
      </left>
      <right style="thin">
        <color auto="1"/>
      </right>
      <top/>
      <bottom/>
      <diagonal/>
    </border>
    <border>
      <left style="medium">
        <color indexed="64"/>
      </left>
      <right style="medium">
        <color indexed="64"/>
      </right>
      <top style="medium">
        <color indexed="64"/>
      </top>
      <bottom/>
      <diagonal/>
    </border>
    <border>
      <left style="medium">
        <color indexed="64"/>
      </left>
      <right style="thin">
        <color indexed="64"/>
      </right>
      <top/>
      <bottom style="medium">
        <color indexed="64"/>
      </bottom>
      <diagonal/>
    </border>
    <border>
      <left/>
      <right/>
      <top style="dotted">
        <color auto="1"/>
      </top>
      <bottom/>
      <diagonal/>
    </border>
    <border>
      <left style="thin">
        <color indexed="64"/>
      </left>
      <right style="medium">
        <color indexed="64"/>
      </right>
      <top/>
      <bottom/>
      <diagonal/>
    </border>
    <border>
      <left style="thin">
        <color auto="1"/>
      </left>
      <right style="medium">
        <color indexed="64"/>
      </right>
      <top style="medium">
        <color indexed="64"/>
      </top>
      <bottom/>
      <diagonal/>
    </border>
    <border>
      <left/>
      <right style="thin">
        <color indexed="64"/>
      </right>
      <top style="medium">
        <color indexed="64"/>
      </top>
      <bottom/>
      <diagonal/>
    </border>
    <border>
      <left style="medium">
        <color indexed="64"/>
      </left>
      <right style="medium">
        <color indexed="64"/>
      </right>
      <top style="thin">
        <color auto="1"/>
      </top>
      <bottom/>
      <diagonal/>
    </border>
    <border>
      <left style="medium">
        <color indexed="64"/>
      </left>
      <right style="medium">
        <color indexed="64"/>
      </right>
      <top/>
      <bottom style="thin">
        <color auto="1"/>
      </bottom>
      <diagonal/>
    </border>
    <border>
      <left style="thin">
        <color indexed="64"/>
      </left>
      <right/>
      <top style="medium">
        <color indexed="64"/>
      </top>
      <bottom/>
      <diagonal/>
    </border>
    <border>
      <left style="medium">
        <color indexed="64"/>
      </left>
      <right style="dotted">
        <color auto="1"/>
      </right>
      <top style="dotted">
        <color auto="1"/>
      </top>
      <bottom style="dotted">
        <color auto="1"/>
      </bottom>
      <diagonal/>
    </border>
    <border>
      <left style="dotted">
        <color auto="1"/>
      </left>
      <right style="medium">
        <color indexed="64"/>
      </right>
      <top style="dotted">
        <color auto="1"/>
      </top>
      <bottom style="dotted">
        <color auto="1"/>
      </bottom>
      <diagonal/>
    </border>
    <border>
      <left style="medium">
        <color indexed="64"/>
      </left>
      <right style="dotted">
        <color auto="1"/>
      </right>
      <top style="dotted">
        <color auto="1"/>
      </top>
      <bottom style="medium">
        <color indexed="64"/>
      </bottom>
      <diagonal/>
    </border>
    <border>
      <left style="dotted">
        <color auto="1"/>
      </left>
      <right style="dotted">
        <color auto="1"/>
      </right>
      <top style="dotted">
        <color auto="1"/>
      </top>
      <bottom style="medium">
        <color indexed="64"/>
      </bottom>
      <diagonal/>
    </border>
    <border>
      <left style="dotted">
        <color auto="1"/>
      </left>
      <right style="medium">
        <color indexed="64"/>
      </right>
      <top style="dotted">
        <color auto="1"/>
      </top>
      <bottom style="medium">
        <color indexed="64"/>
      </bottom>
      <diagonal/>
    </border>
    <border>
      <left style="medium">
        <color indexed="64"/>
      </left>
      <right style="dotted">
        <color auto="1"/>
      </right>
      <top style="medium">
        <color indexed="64"/>
      </top>
      <bottom style="dotted">
        <color auto="1"/>
      </bottom>
      <diagonal/>
    </border>
    <border>
      <left style="dotted">
        <color auto="1"/>
      </left>
      <right style="dotted">
        <color auto="1"/>
      </right>
      <top style="medium">
        <color indexed="64"/>
      </top>
      <bottom style="dotted">
        <color auto="1"/>
      </bottom>
      <diagonal/>
    </border>
    <border>
      <left style="dotted">
        <color auto="1"/>
      </left>
      <right style="medium">
        <color indexed="64"/>
      </right>
      <top style="medium">
        <color indexed="64"/>
      </top>
      <bottom style="dotted">
        <color auto="1"/>
      </bottom>
      <diagonal/>
    </border>
    <border>
      <left style="medium">
        <color indexed="64"/>
      </left>
      <right style="dotted">
        <color auto="1"/>
      </right>
      <top style="medium">
        <color indexed="64"/>
      </top>
      <bottom style="medium">
        <color indexed="64"/>
      </bottom>
      <diagonal/>
    </border>
    <border>
      <left style="dotted">
        <color auto="1"/>
      </left>
      <right style="dotted">
        <color auto="1"/>
      </right>
      <top style="medium">
        <color indexed="64"/>
      </top>
      <bottom style="medium">
        <color indexed="64"/>
      </bottom>
      <diagonal/>
    </border>
    <border>
      <left style="dotted">
        <color auto="1"/>
      </left>
      <right style="medium">
        <color indexed="64"/>
      </right>
      <top style="medium">
        <color indexed="64"/>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top/>
      <bottom style="thin">
        <color rgb="FF000000"/>
      </bottom>
      <diagonal/>
    </border>
    <border>
      <left/>
      <right/>
      <top/>
      <bottom style="thin">
        <color rgb="FF000000"/>
      </bottom>
      <diagonal/>
    </border>
    <border>
      <left/>
      <right style="thin">
        <color indexed="64"/>
      </right>
      <top/>
      <bottom style="thin">
        <color rgb="FF000000"/>
      </bottom>
      <diagonal/>
    </border>
    <border>
      <left style="thin">
        <color indexed="64"/>
      </left>
      <right/>
      <top style="thin">
        <color rgb="FF000000"/>
      </top>
      <bottom style="thin">
        <color indexed="64"/>
      </bottom>
      <diagonal/>
    </border>
    <border>
      <left/>
      <right/>
      <top style="thin">
        <color rgb="FF000000"/>
      </top>
      <bottom style="thin">
        <color indexed="64"/>
      </bottom>
      <diagonal/>
    </border>
    <border>
      <left/>
      <right style="thin">
        <color indexed="64"/>
      </right>
      <top style="thin">
        <color rgb="FF000000"/>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bottom style="thin">
        <color theme="0"/>
      </bottom>
      <diagonal/>
    </border>
    <border>
      <left style="medium">
        <color indexed="64"/>
      </left>
      <right style="thin">
        <color theme="0"/>
      </right>
      <top style="medium">
        <color indexed="64"/>
      </top>
      <bottom style="thin">
        <color theme="0"/>
      </bottom>
      <diagonal/>
    </border>
    <border>
      <left style="thin">
        <color theme="0"/>
      </left>
      <right style="thin">
        <color theme="0"/>
      </right>
      <top style="medium">
        <color indexed="64"/>
      </top>
      <bottom style="thin">
        <color theme="0"/>
      </bottom>
      <diagonal/>
    </border>
    <border>
      <left style="thin">
        <color theme="0"/>
      </left>
      <right style="medium">
        <color indexed="64"/>
      </right>
      <top style="medium">
        <color indexed="64"/>
      </top>
      <bottom style="thin">
        <color theme="0"/>
      </bottom>
      <diagonal/>
    </border>
    <border>
      <left style="medium">
        <color indexed="64"/>
      </left>
      <right style="thin">
        <color theme="0"/>
      </right>
      <top style="thin">
        <color theme="0"/>
      </top>
      <bottom style="thin">
        <color theme="0"/>
      </bottom>
      <diagonal/>
    </border>
    <border>
      <left style="thin">
        <color theme="0"/>
      </left>
      <right style="medium">
        <color indexed="64"/>
      </right>
      <top style="thin">
        <color theme="0"/>
      </top>
      <bottom style="thin">
        <color theme="0"/>
      </bottom>
      <diagonal/>
    </border>
    <border>
      <left style="medium">
        <color indexed="64"/>
      </left>
      <right style="thin">
        <color theme="0"/>
      </right>
      <top style="thin">
        <color theme="0"/>
      </top>
      <bottom style="medium">
        <color indexed="64"/>
      </bottom>
      <diagonal/>
    </border>
    <border>
      <left style="thin">
        <color theme="0"/>
      </left>
      <right style="thin">
        <color theme="0"/>
      </right>
      <top style="thin">
        <color theme="0"/>
      </top>
      <bottom style="medium">
        <color indexed="64"/>
      </bottom>
      <diagonal/>
    </border>
    <border>
      <left style="thin">
        <color theme="0"/>
      </left>
      <right style="medium">
        <color indexed="64"/>
      </right>
      <top style="thin">
        <color theme="0"/>
      </top>
      <bottom style="medium">
        <color indexed="64"/>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top/>
      <bottom/>
      <diagonal/>
    </border>
    <border>
      <left style="thin">
        <color theme="0"/>
      </left>
      <right/>
      <top style="thin">
        <color theme="0"/>
      </top>
      <bottom/>
      <diagonal/>
    </border>
    <border>
      <left style="medium">
        <color indexed="64"/>
      </left>
      <right style="thin">
        <color theme="0"/>
      </right>
      <top/>
      <bottom style="thin">
        <color theme="0"/>
      </bottom>
      <diagonal/>
    </border>
    <border>
      <left style="thin">
        <color theme="0"/>
      </left>
      <right style="medium">
        <color indexed="64"/>
      </right>
      <top/>
      <bottom style="thin">
        <color theme="0"/>
      </bottom>
      <diagonal/>
    </border>
    <border>
      <left style="medium">
        <color indexed="64"/>
      </left>
      <right style="thin">
        <color theme="0"/>
      </right>
      <top style="thin">
        <color theme="0"/>
      </top>
      <bottom style="thin">
        <color indexed="64"/>
      </bottom>
      <diagonal/>
    </border>
    <border>
      <left style="thin">
        <color theme="0"/>
      </left>
      <right style="thin">
        <color theme="0"/>
      </right>
      <top style="thin">
        <color theme="0"/>
      </top>
      <bottom style="thin">
        <color indexed="64"/>
      </bottom>
      <diagonal/>
    </border>
    <border>
      <left style="thin">
        <color theme="0"/>
      </left>
      <right style="medium">
        <color indexed="64"/>
      </right>
      <top style="thin">
        <color theme="0"/>
      </top>
      <bottom style="thin">
        <color indexed="64"/>
      </bottom>
      <diagonal/>
    </border>
    <border>
      <left style="medium">
        <color indexed="64"/>
      </left>
      <right/>
      <top/>
      <bottom style="thin">
        <color theme="0"/>
      </bottom>
      <diagonal/>
    </border>
    <border>
      <left/>
      <right/>
      <top/>
      <bottom style="thin">
        <color theme="0"/>
      </bottom>
      <diagonal/>
    </border>
    <border>
      <left/>
      <right style="medium">
        <color indexed="64"/>
      </right>
      <top/>
      <bottom style="thin">
        <color theme="0"/>
      </bottom>
      <diagonal/>
    </border>
    <border>
      <left style="medium">
        <color indexed="64"/>
      </left>
      <right/>
      <top style="thin">
        <color theme="0"/>
      </top>
      <bottom style="thin">
        <color theme="0"/>
      </bottom>
      <diagonal/>
    </border>
    <border>
      <left style="thin">
        <color theme="0"/>
      </left>
      <right style="thin">
        <color theme="0"/>
      </right>
      <top/>
      <bottom style="medium">
        <color indexed="64"/>
      </bottom>
      <diagonal/>
    </border>
    <border>
      <left style="medium">
        <color indexed="64"/>
      </left>
      <right/>
      <top style="medium">
        <color indexed="64"/>
      </top>
      <bottom style="thin">
        <color theme="0"/>
      </bottom>
      <diagonal/>
    </border>
    <border>
      <left/>
      <right/>
      <top style="medium">
        <color indexed="64"/>
      </top>
      <bottom style="thin">
        <color theme="0"/>
      </bottom>
      <diagonal/>
    </border>
    <border>
      <left/>
      <right style="medium">
        <color indexed="64"/>
      </right>
      <top style="medium">
        <color indexed="64"/>
      </top>
      <bottom style="thin">
        <color theme="0"/>
      </bottom>
      <diagonal/>
    </border>
    <border>
      <left style="thin">
        <color theme="0"/>
      </left>
      <right/>
      <top style="medium">
        <color indexed="64"/>
      </top>
      <bottom style="thin">
        <color theme="0"/>
      </bottom>
      <diagonal/>
    </border>
    <border>
      <left/>
      <right style="thin">
        <color theme="0"/>
      </right>
      <top style="medium">
        <color indexed="64"/>
      </top>
      <bottom style="thin">
        <color theme="0"/>
      </bottom>
      <diagonal/>
    </border>
    <border>
      <left/>
      <right/>
      <top style="thin">
        <color theme="0"/>
      </top>
      <bottom style="thin">
        <color theme="0"/>
      </bottom>
      <diagonal/>
    </border>
    <border>
      <left style="thin">
        <color theme="0"/>
      </left>
      <right style="thin">
        <color theme="0"/>
      </right>
      <top style="thin">
        <color indexed="64"/>
      </top>
      <bottom style="thin">
        <color theme="0"/>
      </bottom>
      <diagonal/>
    </border>
    <border>
      <left/>
      <right/>
      <top style="thin">
        <color indexed="64"/>
      </top>
      <bottom style="thin">
        <color theme="0"/>
      </bottom>
      <diagonal/>
    </border>
    <border>
      <left style="thin">
        <color theme="0"/>
      </left>
      <right style="medium">
        <color indexed="64"/>
      </right>
      <top style="thin">
        <color theme="0"/>
      </top>
      <bottom/>
      <diagonal/>
    </border>
    <border>
      <left style="thin">
        <color theme="0"/>
      </left>
      <right style="medium">
        <color indexed="64"/>
      </right>
      <top/>
      <bottom/>
      <diagonal/>
    </border>
    <border>
      <left style="medium">
        <color indexed="64"/>
      </left>
      <right style="thin">
        <color theme="0"/>
      </right>
      <top style="thin">
        <color indexed="64"/>
      </top>
      <bottom style="thin">
        <color theme="0"/>
      </bottom>
      <diagonal/>
    </border>
    <border>
      <left style="thin">
        <color theme="0"/>
      </left>
      <right style="medium">
        <color indexed="64"/>
      </right>
      <top style="thin">
        <color indexed="64"/>
      </top>
      <bottom style="thin">
        <color theme="0"/>
      </bottom>
      <diagonal/>
    </border>
    <border>
      <left/>
      <right style="medium">
        <color indexed="64"/>
      </right>
      <top style="thin">
        <color theme="0"/>
      </top>
      <bottom style="thin">
        <color theme="0"/>
      </bottom>
      <diagonal/>
    </border>
    <border>
      <left style="medium">
        <color indexed="64"/>
      </left>
      <right/>
      <top style="thin">
        <color indexed="64"/>
      </top>
      <bottom style="thin">
        <color theme="0"/>
      </bottom>
      <diagonal/>
    </border>
    <border>
      <left/>
      <right style="medium">
        <color indexed="64"/>
      </right>
      <top style="thin">
        <color indexed="64"/>
      </top>
      <bottom style="thin">
        <color theme="0"/>
      </bottom>
      <diagonal/>
    </border>
  </borders>
  <cellStyleXfs count="38">
    <xf numFmtId="0" fontId="0" fillId="0" borderId="0"/>
    <xf numFmtId="9" fontId="1" fillId="0" borderId="0" applyFont="0" applyFill="0" applyBorder="0" applyAlignment="0" applyProtection="0"/>
    <xf numFmtId="0" fontId="3" fillId="0" borderId="0"/>
    <xf numFmtId="0" fontId="1" fillId="0" borderId="0"/>
    <xf numFmtId="44" fontId="1" fillId="0" borderId="0" applyFont="0" applyFill="0" applyBorder="0" applyAlignment="0" applyProtection="0"/>
    <xf numFmtId="9" fontId="3" fillId="0" borderId="0" applyFont="0" applyFill="0" applyBorder="0" applyAlignment="0" applyProtection="0"/>
    <xf numFmtId="0" fontId="7" fillId="0" borderId="0"/>
    <xf numFmtId="9" fontId="1" fillId="0" borderId="0" applyFont="0" applyFill="0" applyBorder="0" applyAlignment="0" applyProtection="0"/>
    <xf numFmtId="44" fontId="1" fillId="0" borderId="0" applyFont="0" applyFill="0" applyBorder="0" applyAlignment="0" applyProtection="0"/>
    <xf numFmtId="0" fontId="1" fillId="0" borderId="0"/>
    <xf numFmtId="0" fontId="8" fillId="3" borderId="0" applyBorder="0" applyProtection="0"/>
    <xf numFmtId="168" fontId="7" fillId="0" borderId="0" applyBorder="0" applyProtection="0"/>
    <xf numFmtId="44" fontId="1" fillId="0" borderId="0" applyFont="0" applyFill="0" applyBorder="0" applyAlignment="0" applyProtection="0"/>
    <xf numFmtId="0" fontId="7" fillId="0" borderId="0"/>
    <xf numFmtId="9" fontId="7" fillId="0" borderId="0" applyBorder="0" applyProtection="0"/>
    <xf numFmtId="44" fontId="1" fillId="0" borderId="0" applyFont="0" applyFill="0" applyBorder="0" applyAlignment="0" applyProtection="0"/>
    <xf numFmtId="0" fontId="5" fillId="0" borderId="0"/>
    <xf numFmtId="178" fontId="3"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0" fontId="3" fillId="0" borderId="0"/>
    <xf numFmtId="0" fontId="1" fillId="0" borderId="0"/>
    <xf numFmtId="44"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168" fontId="7" fillId="0" borderId="0" applyBorder="0" applyProtection="0"/>
    <xf numFmtId="0" fontId="5" fillId="0" borderId="0"/>
    <xf numFmtId="178" fontId="3" fillId="0" borderId="0" applyFont="0" applyFill="0" applyBorder="0" applyAlignment="0" applyProtection="0"/>
    <xf numFmtId="0" fontId="3" fillId="0" borderId="0"/>
    <xf numFmtId="9" fontId="5" fillId="0" borderId="0" applyFont="0" applyFill="0" applyBorder="0" applyAlignment="0" applyProtection="0">
      <alignment vertical="center"/>
    </xf>
    <xf numFmtId="44" fontId="3" fillId="0" borderId="0" applyFont="0" applyFill="0" applyBorder="0" applyAlignment="0" applyProtection="0"/>
    <xf numFmtId="0" fontId="16" fillId="0" borderId="0"/>
    <xf numFmtId="0" fontId="3" fillId="0" borderId="0"/>
    <xf numFmtId="44" fontId="1" fillId="0" borderId="0" applyFont="0" applyFill="0" applyBorder="0" applyAlignment="0" applyProtection="0"/>
    <xf numFmtId="44" fontId="1" fillId="0" borderId="0" applyFont="0" applyFill="0" applyBorder="0" applyAlignment="0" applyProtection="0"/>
    <xf numFmtId="0" fontId="1" fillId="0" borderId="0"/>
    <xf numFmtId="0" fontId="23" fillId="0" borderId="0" applyNumberFormat="0" applyFill="0" applyBorder="0" applyAlignment="0" applyProtection="0"/>
  </cellStyleXfs>
  <cellXfs count="1577">
    <xf numFmtId="0" fontId="0" fillId="0" borderId="0" xfId="0"/>
    <xf numFmtId="0" fontId="4" fillId="0" borderId="0" xfId="2" applyFont="1"/>
    <xf numFmtId="164" fontId="4" fillId="0" borderId="0" xfId="2" applyNumberFormat="1" applyFont="1" applyAlignment="1">
      <alignment horizontal="center"/>
    </xf>
    <xf numFmtId="0" fontId="6" fillId="0" borderId="0" xfId="2" applyFont="1"/>
    <xf numFmtId="0" fontId="1" fillId="0" borderId="0" xfId="3" applyAlignment="1">
      <alignment horizontal="center"/>
    </xf>
    <xf numFmtId="0" fontId="1" fillId="0" borderId="0" xfId="3"/>
    <xf numFmtId="0" fontId="1" fillId="0" borderId="0" xfId="2" applyFont="1"/>
    <xf numFmtId="0" fontId="4" fillId="0" borderId="0" xfId="2" applyFont="1" applyAlignment="1">
      <alignment horizontal="center"/>
    </xf>
    <xf numFmtId="164" fontId="4" fillId="0" borderId="0" xfId="2" applyNumberFormat="1" applyFont="1"/>
    <xf numFmtId="2" fontId="4" fillId="0" borderId="0" xfId="2" applyNumberFormat="1" applyFont="1"/>
    <xf numFmtId="4" fontId="9" fillId="0" borderId="0" xfId="3" applyNumberFormat="1" applyFont="1" applyAlignment="1">
      <alignment horizontal="center" vertical="center"/>
    </xf>
    <xf numFmtId="4" fontId="10" fillId="0" borderId="0" xfId="3" applyNumberFormat="1" applyFont="1" applyAlignment="1">
      <alignment vertical="center"/>
    </xf>
    <xf numFmtId="4" fontId="10" fillId="0" borderId="0" xfId="3" applyNumberFormat="1" applyFont="1" applyAlignment="1">
      <alignment horizontal="center" vertical="center"/>
    </xf>
    <xf numFmtId="49" fontId="10" fillId="0" borderId="0" xfId="3" applyNumberFormat="1" applyFont="1" applyAlignment="1">
      <alignment horizontal="center" vertical="center"/>
    </xf>
    <xf numFmtId="10" fontId="2" fillId="0" borderId="0" xfId="5" applyNumberFormat="1" applyFont="1"/>
    <xf numFmtId="0" fontId="2" fillId="0" borderId="0" xfId="3" applyFont="1"/>
    <xf numFmtId="165" fontId="1" fillId="0" borderId="0" xfId="3" applyNumberFormat="1"/>
    <xf numFmtId="0" fontId="2" fillId="0" borderId="0" xfId="0" applyFont="1"/>
    <xf numFmtId="0" fontId="14" fillId="0" borderId="0" xfId="2" applyFont="1"/>
    <xf numFmtId="0" fontId="14" fillId="0" borderId="0" xfId="2" applyFont="1" applyAlignment="1">
      <alignment horizontal="center"/>
    </xf>
    <xf numFmtId="0" fontId="1" fillId="0" borderId="0" xfId="0" applyFont="1"/>
    <xf numFmtId="164" fontId="14" fillId="0" borderId="0" xfId="2" applyNumberFormat="1" applyFont="1" applyAlignment="1">
      <alignment horizontal="center"/>
    </xf>
    <xf numFmtId="4" fontId="9" fillId="2" borderId="0" xfId="3" applyNumberFormat="1" applyFont="1" applyFill="1" applyAlignment="1">
      <alignment horizontal="center" vertical="center"/>
    </xf>
    <xf numFmtId="4" fontId="10" fillId="2" borderId="0" xfId="3" applyNumberFormat="1" applyFont="1" applyFill="1" applyAlignment="1">
      <alignment horizontal="center" vertical="center"/>
    </xf>
    <xf numFmtId="4" fontId="10" fillId="2" borderId="5" xfId="3" applyNumberFormat="1" applyFont="1" applyFill="1" applyBorder="1" applyAlignment="1">
      <alignment horizontal="center" vertical="center"/>
    </xf>
    <xf numFmtId="4" fontId="9" fillId="2" borderId="9" xfId="3" applyNumberFormat="1" applyFont="1" applyFill="1" applyBorder="1" applyAlignment="1">
      <alignment horizontal="center" vertical="center"/>
    </xf>
    <xf numFmtId="4" fontId="9" fillId="2" borderId="9" xfId="3" applyNumberFormat="1" applyFont="1" applyFill="1" applyBorder="1" applyAlignment="1">
      <alignment vertical="center"/>
    </xf>
    <xf numFmtId="4" fontId="10" fillId="2" borderId="15" xfId="3" applyNumberFormat="1" applyFont="1" applyFill="1" applyBorder="1" applyAlignment="1">
      <alignment horizontal="center" vertical="center"/>
    </xf>
    <xf numFmtId="1" fontId="10" fillId="2" borderId="15" xfId="3" applyNumberFormat="1" applyFont="1" applyFill="1" applyBorder="1" applyAlignment="1">
      <alignment vertical="center"/>
    </xf>
    <xf numFmtId="4" fontId="9" fillId="2" borderId="5" xfId="3" applyNumberFormat="1" applyFont="1" applyFill="1" applyBorder="1" applyAlignment="1">
      <alignment horizontal="center" vertical="center"/>
    </xf>
    <xf numFmtId="4" fontId="9" fillId="2" borderId="5" xfId="3" applyNumberFormat="1" applyFont="1" applyFill="1" applyBorder="1" applyAlignment="1">
      <alignment vertical="center"/>
    </xf>
    <xf numFmtId="4" fontId="9" fillId="2" borderId="42" xfId="3" applyNumberFormat="1" applyFont="1" applyFill="1" applyBorder="1" applyAlignment="1">
      <alignment vertical="center"/>
    </xf>
    <xf numFmtId="44" fontId="9" fillId="2" borderId="0" xfId="15" applyFont="1" applyFill="1" applyBorder="1" applyAlignment="1">
      <alignment vertical="center"/>
    </xf>
    <xf numFmtId="169" fontId="9" fillId="2" borderId="39" xfId="12" applyNumberFormat="1" applyFont="1" applyFill="1" applyBorder="1" applyAlignment="1" applyProtection="1">
      <alignment vertical="center" shrinkToFit="1"/>
    </xf>
    <xf numFmtId="4" fontId="10" fillId="2" borderId="0" xfId="3" applyNumberFormat="1" applyFont="1" applyFill="1" applyAlignment="1">
      <alignment vertical="center"/>
    </xf>
    <xf numFmtId="4" fontId="10" fillId="2" borderId="42" xfId="3" applyNumberFormat="1" applyFont="1" applyFill="1" applyBorder="1" applyAlignment="1">
      <alignment vertical="center"/>
    </xf>
    <xf numFmtId="169" fontId="10" fillId="2" borderId="39" xfId="12" applyNumberFormat="1" applyFont="1" applyFill="1" applyBorder="1" applyAlignment="1" applyProtection="1">
      <alignment vertical="center"/>
    </xf>
    <xf numFmtId="44" fontId="10" fillId="2" borderId="0" xfId="15" applyFont="1" applyFill="1" applyBorder="1" applyAlignment="1">
      <alignment vertical="center"/>
    </xf>
    <xf numFmtId="169" fontId="9" fillId="2" borderId="39" xfId="12" applyNumberFormat="1" applyFont="1" applyFill="1" applyBorder="1" applyAlignment="1" applyProtection="1">
      <alignment vertical="center"/>
    </xf>
    <xf numFmtId="4" fontId="10" fillId="2" borderId="42" xfId="3" applyNumberFormat="1" applyFont="1" applyFill="1" applyBorder="1" applyAlignment="1">
      <alignment vertical="center" wrapText="1"/>
    </xf>
    <xf numFmtId="49" fontId="10" fillId="2" borderId="0" xfId="3" applyNumberFormat="1" applyFont="1" applyFill="1" applyAlignment="1">
      <alignment horizontal="center" vertical="center"/>
    </xf>
    <xf numFmtId="4" fontId="10" fillId="2" borderId="43" xfId="3" applyNumberFormat="1" applyFont="1" applyFill="1" applyBorder="1" applyAlignment="1">
      <alignment vertical="center"/>
    </xf>
    <xf numFmtId="44" fontId="10" fillId="2" borderId="5" xfId="15" applyFont="1" applyFill="1" applyBorder="1" applyAlignment="1">
      <alignment vertical="center"/>
    </xf>
    <xf numFmtId="169" fontId="10" fillId="2" borderId="44" xfId="12" applyNumberFormat="1" applyFont="1" applyFill="1" applyBorder="1" applyAlignment="1" applyProtection="1">
      <alignment vertical="center"/>
    </xf>
    <xf numFmtId="4" fontId="9" fillId="2" borderId="33" xfId="3" applyNumberFormat="1" applyFont="1" applyFill="1" applyBorder="1" applyAlignment="1">
      <alignment vertical="center"/>
    </xf>
    <xf numFmtId="44" fontId="9" fillId="2" borderId="9" xfId="15" applyFont="1" applyFill="1" applyBorder="1" applyAlignment="1">
      <alignment vertical="center"/>
    </xf>
    <xf numFmtId="169" fontId="9" fillId="2" borderId="45" xfId="12" applyNumberFormat="1" applyFont="1" applyFill="1" applyBorder="1" applyAlignment="1" applyProtection="1">
      <alignment vertical="center" shrinkToFit="1"/>
    </xf>
    <xf numFmtId="4" fontId="10" fillId="2" borderId="46" xfId="3" applyNumberFormat="1" applyFont="1" applyFill="1" applyBorder="1" applyAlignment="1">
      <alignment vertical="center"/>
    </xf>
    <xf numFmtId="169" fontId="10" fillId="2" borderId="47" xfId="12" applyNumberFormat="1" applyFont="1" applyFill="1" applyBorder="1" applyAlignment="1" applyProtection="1">
      <alignment vertical="center"/>
    </xf>
    <xf numFmtId="4" fontId="9" fillId="2" borderId="43" xfId="3" applyNumberFormat="1" applyFont="1" applyFill="1" applyBorder="1" applyAlignment="1">
      <alignment vertical="center"/>
    </xf>
    <xf numFmtId="44" fontId="9" fillId="2" borderId="5" xfId="15" applyFont="1" applyFill="1" applyBorder="1" applyAlignment="1">
      <alignment vertical="center"/>
    </xf>
    <xf numFmtId="169" fontId="9" fillId="2" borderId="44" xfId="12" applyNumberFormat="1" applyFont="1" applyFill="1" applyBorder="1" applyAlignment="1" applyProtection="1">
      <alignment vertical="center" shrinkToFit="1"/>
    </xf>
    <xf numFmtId="44" fontId="11" fillId="2" borderId="29" xfId="15" applyFont="1" applyFill="1" applyBorder="1"/>
    <xf numFmtId="44" fontId="12" fillId="2" borderId="29" xfId="12" applyFont="1" applyFill="1" applyBorder="1" applyAlignment="1" applyProtection="1"/>
    <xf numFmtId="10" fontId="0" fillId="0" borderId="0" xfId="1" applyNumberFormat="1" applyFont="1"/>
    <xf numFmtId="10" fontId="12" fillId="0" borderId="0" xfId="1" applyNumberFormat="1" applyFont="1"/>
    <xf numFmtId="0" fontId="1" fillId="9" borderId="0" xfId="3" applyFill="1"/>
    <xf numFmtId="0" fontId="2" fillId="7" borderId="0" xfId="3" applyFont="1" applyFill="1"/>
    <xf numFmtId="0" fontId="0" fillId="0" borderId="0" xfId="3" applyFont="1"/>
    <xf numFmtId="0" fontId="13" fillId="0" borderId="0" xfId="0" applyFont="1"/>
    <xf numFmtId="4" fontId="15" fillId="0" borderId="0" xfId="0" applyNumberFormat="1" applyFont="1" applyAlignment="1">
      <alignment vertical="center"/>
    </xf>
    <xf numFmtId="0" fontId="0" fillId="0" borderId="0" xfId="0" applyAlignment="1">
      <alignment horizontal="center"/>
    </xf>
    <xf numFmtId="10" fontId="0" fillId="0" borderId="0" xfId="0" applyNumberFormat="1"/>
    <xf numFmtId="10" fontId="0" fillId="0" borderId="0" xfId="0" applyNumberFormat="1" applyAlignment="1">
      <alignment horizontal="center" vertical="center"/>
    </xf>
    <xf numFmtId="0" fontId="1" fillId="2" borderId="0" xfId="3" applyFill="1"/>
    <xf numFmtId="176" fontId="1" fillId="2" borderId="0" xfId="3" applyNumberFormat="1" applyFill="1"/>
    <xf numFmtId="0" fontId="6" fillId="2" borderId="0" xfId="2" applyFont="1" applyFill="1"/>
    <xf numFmtId="0" fontId="1" fillId="2" borderId="42" xfId="3" applyFill="1" applyBorder="1"/>
    <xf numFmtId="44" fontId="1" fillId="2" borderId="0" xfId="15" applyFont="1" applyFill="1" applyBorder="1"/>
    <xf numFmtId="0" fontId="1" fillId="2" borderId="39" xfId="3" applyFill="1" applyBorder="1"/>
    <xf numFmtId="0" fontId="1" fillId="2" borderId="33" xfId="3" applyFill="1" applyBorder="1" applyAlignment="1">
      <alignment horizontal="center" vertical="center"/>
    </xf>
    <xf numFmtId="44" fontId="1" fillId="2" borderId="39" xfId="15" applyFont="1" applyFill="1" applyBorder="1" applyAlignment="1">
      <alignment horizontal="center"/>
    </xf>
    <xf numFmtId="44" fontId="1" fillId="2" borderId="0" xfId="15" applyFont="1" applyFill="1"/>
    <xf numFmtId="165" fontId="0" fillId="0" borderId="0" xfId="0" applyNumberFormat="1"/>
    <xf numFmtId="0" fontId="0" fillId="2" borderId="42" xfId="3" applyFont="1" applyFill="1" applyBorder="1"/>
    <xf numFmtId="0" fontId="0" fillId="0" borderId="0" xfId="0" applyAlignment="1">
      <alignment horizontal="center" vertical="center" wrapText="1"/>
    </xf>
    <xf numFmtId="0" fontId="4" fillId="0" borderId="0" xfId="2" applyFont="1" applyAlignment="1">
      <alignment vertical="center"/>
    </xf>
    <xf numFmtId="1" fontId="0" fillId="0" borderId="0" xfId="0" applyNumberFormat="1" applyAlignment="1">
      <alignment horizontal="center" vertical="center" wrapText="1"/>
    </xf>
    <xf numFmtId="0" fontId="1" fillId="0" borderId="0" xfId="3" applyAlignment="1">
      <alignment wrapText="1"/>
    </xf>
    <xf numFmtId="10" fontId="2" fillId="0" borderId="0" xfId="5" applyNumberFormat="1" applyFont="1" applyAlignment="1">
      <alignment wrapText="1"/>
    </xf>
    <xf numFmtId="0" fontId="1" fillId="0" borderId="17" xfId="3" applyBorder="1"/>
    <xf numFmtId="0" fontId="1" fillId="0" borderId="18" xfId="3" applyBorder="1"/>
    <xf numFmtId="0" fontId="1" fillId="0" borderId="19" xfId="3" applyBorder="1"/>
    <xf numFmtId="0" fontId="1" fillId="0" borderId="42" xfId="3" applyBorder="1"/>
    <xf numFmtId="0" fontId="1" fillId="0" borderId="39" xfId="3" applyBorder="1"/>
    <xf numFmtId="0" fontId="0" fillId="0" borderId="6" xfId="3" applyFont="1" applyBorder="1" applyAlignment="1">
      <alignment horizontal="center" vertical="center"/>
    </xf>
    <xf numFmtId="165" fontId="1" fillId="0" borderId="6" xfId="3" applyNumberFormat="1" applyBorder="1" applyAlignment="1">
      <alignment horizontal="center" vertical="center"/>
    </xf>
    <xf numFmtId="0" fontId="1" fillId="0" borderId="20" xfId="3" applyBorder="1"/>
    <xf numFmtId="0" fontId="1" fillId="0" borderId="21" xfId="3" applyBorder="1"/>
    <xf numFmtId="0" fontId="1" fillId="0" borderId="22" xfId="3" applyBorder="1"/>
    <xf numFmtId="0" fontId="0" fillId="0" borderId="0" xfId="0"/>
    <xf numFmtId="0" fontId="0" fillId="0" borderId="0" xfId="0"/>
    <xf numFmtId="0" fontId="0" fillId="0" borderId="0" xfId="0"/>
    <xf numFmtId="0" fontId="0" fillId="0" borderId="0" xfId="0"/>
    <xf numFmtId="0" fontId="1" fillId="2" borderId="9" xfId="3" applyFill="1" applyBorder="1" applyAlignment="1">
      <alignment horizontal="center" vertical="center"/>
    </xf>
    <xf numFmtId="44" fontId="1" fillId="2" borderId="0" xfId="15" applyFont="1" applyFill="1" applyBorder="1" applyAlignment="1">
      <alignment horizontal="center"/>
    </xf>
    <xf numFmtId="0" fontId="1" fillId="2" borderId="0" xfId="3" applyFill="1" applyBorder="1" applyAlignment="1">
      <alignment horizontal="center" vertical="center"/>
    </xf>
    <xf numFmtId="0" fontId="1" fillId="2" borderId="0" xfId="3" applyFill="1" applyBorder="1" applyAlignment="1">
      <alignment horizontal="center" vertical="center" wrapText="1"/>
    </xf>
    <xf numFmtId="0" fontId="1" fillId="2" borderId="0" xfId="3" applyFill="1" applyBorder="1"/>
    <xf numFmtId="0" fontId="1" fillId="2" borderId="0" xfId="3" applyFill="1" applyBorder="1" applyAlignment="1">
      <alignment horizontal="center"/>
    </xf>
    <xf numFmtId="165" fontId="1" fillId="2" borderId="0" xfId="3" applyNumberFormat="1" applyFill="1" applyBorder="1" applyAlignment="1">
      <alignment horizontal="center"/>
    </xf>
    <xf numFmtId="44" fontId="1" fillId="2" borderId="0" xfId="3" applyNumberFormat="1" applyFill="1" applyBorder="1"/>
    <xf numFmtId="165" fontId="18" fillId="2" borderId="0" xfId="3" applyNumberFormat="1" applyFont="1" applyFill="1" applyBorder="1"/>
    <xf numFmtId="44" fontId="12" fillId="2" borderId="0" xfId="12" applyFont="1" applyFill="1" applyBorder="1" applyAlignment="1" applyProtection="1"/>
    <xf numFmtId="44" fontId="18" fillId="2" borderId="0" xfId="15" applyFont="1" applyFill="1" applyBorder="1"/>
    <xf numFmtId="4" fontId="9" fillId="7" borderId="42" xfId="3" applyNumberFormat="1" applyFont="1" applyFill="1" applyBorder="1" applyAlignment="1">
      <alignment vertical="center"/>
    </xf>
    <xf numFmtId="44" fontId="9" fillId="7" borderId="0" xfId="15" applyFont="1" applyFill="1" applyBorder="1" applyAlignment="1">
      <alignment vertical="center"/>
    </xf>
    <xf numFmtId="169" fontId="9" fillId="7" borderId="39" xfId="12" applyNumberFormat="1" applyFont="1" applyFill="1" applyBorder="1" applyAlignment="1" applyProtection="1">
      <alignment vertical="center" shrinkToFit="1"/>
    </xf>
    <xf numFmtId="0" fontId="20" fillId="0" borderId="6" xfId="0" applyFont="1" applyBorder="1" applyAlignment="1">
      <alignment horizontal="center"/>
    </xf>
    <xf numFmtId="4" fontId="21" fillId="7" borderId="0" xfId="3" applyNumberFormat="1" applyFont="1" applyFill="1" applyBorder="1" applyAlignment="1">
      <alignment vertical="center"/>
    </xf>
    <xf numFmtId="4" fontId="22" fillId="7" borderId="0" xfId="3" applyNumberFormat="1" applyFont="1" applyFill="1" applyBorder="1" applyAlignment="1">
      <alignment vertical="center"/>
    </xf>
    <xf numFmtId="4" fontId="21" fillId="7" borderId="6" xfId="3" applyNumberFormat="1" applyFont="1" applyFill="1" applyBorder="1" applyAlignment="1">
      <alignment horizontal="center" vertical="center"/>
    </xf>
    <xf numFmtId="4" fontId="21" fillId="7" borderId="6" xfId="3" applyNumberFormat="1" applyFont="1" applyFill="1" applyBorder="1" applyAlignment="1">
      <alignment horizontal="center" vertical="center" wrapText="1"/>
    </xf>
    <xf numFmtId="0" fontId="20" fillId="0" borderId="38" xfId="0" applyFont="1" applyBorder="1" applyAlignment="1">
      <alignment horizontal="center"/>
    </xf>
    <xf numFmtId="4" fontId="21" fillId="7" borderId="38" xfId="3" applyNumberFormat="1" applyFont="1" applyFill="1" applyBorder="1" applyAlignment="1">
      <alignment horizontal="center" vertical="center"/>
    </xf>
    <xf numFmtId="174" fontId="10" fillId="10" borderId="5" xfId="3" applyNumberFormat="1" applyFont="1" applyFill="1" applyBorder="1" applyAlignment="1" applyProtection="1">
      <alignment vertical="center"/>
      <protection locked="0"/>
    </xf>
    <xf numFmtId="44" fontId="1" fillId="0" borderId="0" xfId="3" applyNumberFormat="1"/>
    <xf numFmtId="44" fontId="10" fillId="10" borderId="0" xfId="15" applyFont="1" applyFill="1" applyBorder="1" applyAlignment="1" applyProtection="1">
      <alignment vertical="center"/>
      <protection locked="0"/>
    </xf>
    <xf numFmtId="44" fontId="10" fillId="10" borderId="15" xfId="15" applyFont="1" applyFill="1" applyBorder="1" applyAlignment="1" applyProtection="1">
      <alignment vertical="center"/>
      <protection locked="0"/>
    </xf>
    <xf numFmtId="44" fontId="1" fillId="2" borderId="45" xfId="3" applyNumberFormat="1" applyFill="1" applyBorder="1" applyAlignment="1">
      <alignment horizontal="center" vertical="center" wrapText="1"/>
    </xf>
    <xf numFmtId="44" fontId="18" fillId="2" borderId="48" xfId="15" applyFont="1" applyFill="1" applyBorder="1" applyAlignment="1">
      <alignment horizontal="center"/>
    </xf>
    <xf numFmtId="0" fontId="1" fillId="2" borderId="9" xfId="15" applyNumberFormat="1" applyFont="1" applyFill="1" applyBorder="1" applyAlignment="1">
      <alignment horizontal="center" vertical="center"/>
    </xf>
    <xf numFmtId="0" fontId="0" fillId="0" borderId="0" xfId="0" applyAlignment="1">
      <alignment horizontal="center" vertical="center"/>
    </xf>
    <xf numFmtId="0" fontId="0" fillId="0" borderId="0" xfId="0" applyBorder="1"/>
    <xf numFmtId="44" fontId="0" fillId="0" borderId="0" xfId="0" applyNumberFormat="1" applyAlignment="1">
      <alignment horizontal="center" vertical="center"/>
    </xf>
    <xf numFmtId="0" fontId="0" fillId="0" borderId="0" xfId="0" applyAlignment="1">
      <alignment horizontal="center" vertical="center"/>
    </xf>
    <xf numFmtId="10" fontId="1" fillId="0" borderId="0" xfId="3" applyNumberFormat="1"/>
    <xf numFmtId="0" fontId="5" fillId="0" borderId="0" xfId="3" applyFont="1"/>
    <xf numFmtId="4" fontId="26" fillId="2" borderId="5" xfId="3" applyNumberFormat="1" applyFont="1" applyFill="1" applyBorder="1" applyAlignment="1">
      <alignment horizontal="center" vertical="center"/>
    </xf>
    <xf numFmtId="174" fontId="26" fillId="10" borderId="5" xfId="3" applyNumberFormat="1" applyFont="1" applyFill="1" applyBorder="1" applyAlignment="1" applyProtection="1">
      <alignment vertical="center"/>
      <protection locked="0"/>
    </xf>
    <xf numFmtId="172" fontId="26" fillId="2" borderId="5" xfId="3" applyNumberFormat="1" applyFont="1" applyFill="1" applyBorder="1" applyAlignment="1">
      <alignment vertical="center"/>
    </xf>
    <xf numFmtId="4" fontId="24" fillId="2" borderId="9" xfId="3" applyNumberFormat="1" applyFont="1" applyFill="1" applyBorder="1" applyAlignment="1">
      <alignment horizontal="center" vertical="center"/>
    </xf>
    <xf numFmtId="4" fontId="24" fillId="2" borderId="9" xfId="3" applyNumberFormat="1" applyFont="1" applyFill="1" applyBorder="1" applyAlignment="1">
      <alignment vertical="center"/>
    </xf>
    <xf numFmtId="4" fontId="26" fillId="2" borderId="15" xfId="3" applyNumberFormat="1" applyFont="1" applyFill="1" applyBorder="1" applyAlignment="1">
      <alignment horizontal="center" vertical="center"/>
    </xf>
    <xf numFmtId="1" fontId="26" fillId="2" borderId="15" xfId="3" applyNumberFormat="1" applyFont="1" applyFill="1" applyBorder="1" applyAlignment="1">
      <alignment vertical="center"/>
    </xf>
    <xf numFmtId="170" fontId="26" fillId="10" borderId="15" xfId="3" applyNumberFormat="1" applyFont="1" applyFill="1" applyBorder="1" applyAlignment="1" applyProtection="1">
      <alignment vertical="center"/>
      <protection locked="0"/>
    </xf>
    <xf numFmtId="4" fontId="24" fillId="2" borderId="5" xfId="3" applyNumberFormat="1" applyFont="1" applyFill="1" applyBorder="1" applyAlignment="1">
      <alignment horizontal="center" vertical="center"/>
    </xf>
    <xf numFmtId="4" fontId="24" fillId="2" borderId="5" xfId="3" applyNumberFormat="1" applyFont="1" applyFill="1" applyBorder="1" applyAlignment="1">
      <alignment vertical="center"/>
    </xf>
    <xf numFmtId="9" fontId="26" fillId="10" borderId="0" xfId="5" applyFont="1" applyFill="1" applyBorder="1" applyAlignment="1" applyProtection="1">
      <alignment vertical="center"/>
      <protection locked="0"/>
    </xf>
    <xf numFmtId="165" fontId="28" fillId="2" borderId="9" xfId="3" applyNumberFormat="1" applyFont="1" applyFill="1" applyBorder="1"/>
    <xf numFmtId="44" fontId="29" fillId="2" borderId="9" xfId="12" applyFont="1" applyFill="1" applyBorder="1" applyAlignment="1" applyProtection="1"/>
    <xf numFmtId="0" fontId="25" fillId="2" borderId="15" xfId="3" applyFont="1" applyFill="1" applyBorder="1" applyAlignment="1">
      <alignment horizontal="center"/>
    </xf>
    <xf numFmtId="165" fontId="28" fillId="2" borderId="15" xfId="3" applyNumberFormat="1" applyFont="1" applyFill="1" applyBorder="1"/>
    <xf numFmtId="44" fontId="29" fillId="2" borderId="15" xfId="12" applyFont="1" applyFill="1" applyBorder="1" applyAlignment="1" applyProtection="1"/>
    <xf numFmtId="0" fontId="25" fillId="2" borderId="0" xfId="3" applyFont="1" applyFill="1" applyBorder="1" applyAlignment="1">
      <alignment horizontal="center"/>
    </xf>
    <xf numFmtId="165" fontId="28" fillId="2" borderId="0" xfId="3" applyNumberFormat="1" applyFont="1" applyFill="1" applyBorder="1"/>
    <xf numFmtId="44" fontId="29" fillId="2" borderId="0" xfId="12" applyFont="1" applyFill="1" applyBorder="1" applyAlignment="1" applyProtection="1"/>
    <xf numFmtId="0" fontId="33" fillId="0" borderId="0" xfId="2" applyFont="1"/>
    <xf numFmtId="0" fontId="27" fillId="0" borderId="0" xfId="3" applyFont="1"/>
    <xf numFmtId="0" fontId="35" fillId="0" borderId="0" xfId="2" applyFont="1"/>
    <xf numFmtId="2" fontId="27" fillId="6" borderId="0" xfId="4" applyNumberFormat="1" applyFont="1" applyFill="1" applyAlignment="1" applyProtection="1">
      <alignment horizontal="center"/>
      <protection locked="0"/>
    </xf>
    <xf numFmtId="0" fontId="27" fillId="0" borderId="0" xfId="0" applyFont="1"/>
    <xf numFmtId="4" fontId="34" fillId="0" borderId="42" xfId="0" applyNumberFormat="1" applyFont="1" applyBorder="1" applyAlignment="1">
      <alignment vertical="center" wrapText="1"/>
    </xf>
    <xf numFmtId="0" fontId="27" fillId="0" borderId="39" xfId="0" applyFont="1" applyBorder="1"/>
    <xf numFmtId="177" fontId="31" fillId="0" borderId="17" xfId="0" applyNumberFormat="1" applyFont="1" applyBorder="1" applyAlignment="1">
      <alignment horizontal="left" vertical="center"/>
    </xf>
    <xf numFmtId="4" fontId="33" fillId="0" borderId="19" xfId="0" applyNumberFormat="1" applyFont="1" applyBorder="1" applyAlignment="1">
      <alignment vertical="center"/>
    </xf>
    <xf numFmtId="4" fontId="33" fillId="0" borderId="33" xfId="0" applyNumberFormat="1" applyFont="1" applyBorder="1" applyAlignment="1">
      <alignment horizontal="left" vertical="center"/>
    </xf>
    <xf numFmtId="4" fontId="31" fillId="0" borderId="28" xfId="0" applyNumberFormat="1" applyFont="1" applyBorder="1" applyAlignment="1">
      <alignment horizontal="center" vertical="center"/>
    </xf>
    <xf numFmtId="4" fontId="31" fillId="0" borderId="42" xfId="0" applyNumberFormat="1" applyFont="1" applyBorder="1" applyAlignment="1">
      <alignment vertical="center"/>
    </xf>
    <xf numFmtId="10" fontId="31" fillId="0" borderId="39" xfId="0" applyNumberFormat="1" applyFont="1" applyBorder="1" applyAlignment="1">
      <alignment horizontal="right" vertical="center"/>
    </xf>
    <xf numFmtId="10" fontId="33" fillId="0" borderId="19" xfId="0" applyNumberFormat="1" applyFont="1" applyBorder="1" applyAlignment="1">
      <alignment horizontal="right" vertical="center"/>
    </xf>
    <xf numFmtId="0" fontId="36" fillId="0" borderId="39" xfId="0" applyFont="1" applyBorder="1"/>
    <xf numFmtId="4" fontId="33" fillId="0" borderId="42" xfId="0" applyNumberFormat="1" applyFont="1" applyBorder="1" applyAlignment="1">
      <alignment vertical="center"/>
    </xf>
    <xf numFmtId="10" fontId="33" fillId="0" borderId="39" xfId="0" applyNumberFormat="1" applyFont="1" applyBorder="1" applyAlignment="1">
      <alignment horizontal="right" vertical="center"/>
    </xf>
    <xf numFmtId="4" fontId="31" fillId="0" borderId="23" xfId="0" applyNumberFormat="1" applyFont="1" applyBorder="1" applyAlignment="1">
      <alignment vertical="center"/>
    </xf>
    <xf numFmtId="4" fontId="38" fillId="0" borderId="20" xfId="0" applyNumberFormat="1" applyFont="1" applyBorder="1" applyAlignment="1">
      <alignment vertical="center"/>
    </xf>
    <xf numFmtId="0" fontId="36" fillId="0" borderId="22" xfId="0" applyFont="1" applyBorder="1"/>
    <xf numFmtId="4" fontId="39" fillId="0" borderId="42" xfId="3" applyNumberFormat="1" applyFont="1" applyBorder="1" applyAlignment="1">
      <alignment horizontal="center" vertical="center"/>
    </xf>
    <xf numFmtId="4" fontId="39" fillId="0" borderId="0" xfId="3" applyNumberFormat="1" applyFont="1" applyAlignment="1">
      <alignment horizontal="center" vertical="center"/>
    </xf>
    <xf numFmtId="0" fontId="36" fillId="0" borderId="39" xfId="3" applyFont="1" applyBorder="1"/>
    <xf numFmtId="4" fontId="41" fillId="0" borderId="6" xfId="3" applyNumberFormat="1" applyFont="1" applyBorder="1" applyAlignment="1">
      <alignment horizontal="center" vertical="center"/>
    </xf>
    <xf numFmtId="4" fontId="41" fillId="0" borderId="27" xfId="3" applyNumberFormat="1" applyFont="1" applyBorder="1" applyAlignment="1">
      <alignment horizontal="center" vertical="center"/>
    </xf>
    <xf numFmtId="177" fontId="41" fillId="0" borderId="42" xfId="3" applyNumberFormat="1" applyFont="1" applyBorder="1" applyAlignment="1">
      <alignment vertical="center"/>
    </xf>
    <xf numFmtId="177" fontId="41" fillId="0" borderId="0" xfId="3" applyNumberFormat="1" applyFont="1" applyAlignment="1">
      <alignment vertical="center"/>
    </xf>
    <xf numFmtId="177" fontId="41" fillId="0" borderId="39" xfId="3" applyNumberFormat="1" applyFont="1" applyBorder="1" applyAlignment="1">
      <alignment vertical="center"/>
    </xf>
    <xf numFmtId="4" fontId="41" fillId="0" borderId="7" xfId="3" applyNumberFormat="1" applyFont="1" applyBorder="1" applyAlignment="1">
      <alignment horizontal="center" vertical="center"/>
    </xf>
    <xf numFmtId="0" fontId="33" fillId="10" borderId="6" xfId="2" applyFont="1" applyFill="1" applyBorder="1" applyAlignment="1" applyProtection="1">
      <alignment horizontal="center" vertical="center"/>
      <protection locked="0"/>
    </xf>
    <xf numFmtId="2" fontId="33" fillId="10" borderId="6" xfId="2" applyNumberFormat="1" applyFont="1" applyFill="1" applyBorder="1" applyAlignment="1" applyProtection="1">
      <alignment horizontal="center" vertical="center"/>
      <protection locked="0"/>
    </xf>
    <xf numFmtId="0" fontId="42" fillId="0" borderId="0" xfId="2" applyFont="1" applyAlignment="1">
      <alignment horizontal="left" vertical="center"/>
    </xf>
    <xf numFmtId="0" fontId="35" fillId="0" borderId="0" xfId="2" applyFont="1" applyAlignment="1">
      <alignment vertical="center"/>
    </xf>
    <xf numFmtId="0" fontId="33" fillId="4" borderId="6" xfId="2" applyFont="1" applyFill="1" applyBorder="1" applyAlignment="1" applyProtection="1">
      <alignment horizontal="center" vertical="center"/>
      <protection locked="0"/>
    </xf>
    <xf numFmtId="2" fontId="33" fillId="4" borderId="6" xfId="2" applyNumberFormat="1" applyFont="1" applyFill="1" applyBorder="1" applyAlignment="1" applyProtection="1">
      <alignment horizontal="center" vertical="center"/>
      <protection locked="0"/>
    </xf>
    <xf numFmtId="2" fontId="33" fillId="4" borderId="6" xfId="2" applyNumberFormat="1" applyFont="1" applyFill="1" applyBorder="1" applyAlignment="1" applyProtection="1">
      <alignment horizontal="center" vertical="center" wrapText="1"/>
      <protection locked="0"/>
    </xf>
    <xf numFmtId="44" fontId="27" fillId="10" borderId="6" xfId="4" applyFont="1" applyFill="1" applyBorder="1" applyAlignment="1" applyProtection="1">
      <alignment horizontal="center" vertical="center"/>
      <protection locked="0"/>
    </xf>
    <xf numFmtId="44" fontId="27" fillId="10" borderId="6" xfId="4" applyFont="1" applyFill="1" applyBorder="1" applyAlignment="1" applyProtection="1">
      <alignment horizontal="center" vertical="center" wrapText="1"/>
      <protection locked="0"/>
    </xf>
    <xf numFmtId="2" fontId="27" fillId="4" borderId="6" xfId="3" applyNumberFormat="1" applyFont="1" applyFill="1" applyBorder="1" applyAlignment="1" applyProtection="1">
      <alignment horizontal="center" vertical="center"/>
      <protection locked="0"/>
    </xf>
    <xf numFmtId="0" fontId="33" fillId="0" borderId="0" xfId="2" applyFont="1" applyAlignment="1">
      <alignment horizontal="center"/>
    </xf>
    <xf numFmtId="0" fontId="27" fillId="0" borderId="0" xfId="3" applyFont="1" applyAlignment="1">
      <alignment horizontal="center"/>
    </xf>
    <xf numFmtId="0" fontId="35" fillId="0" borderId="0" xfId="2" applyFont="1" applyAlignment="1">
      <alignment horizontal="center"/>
    </xf>
    <xf numFmtId="0" fontId="27" fillId="0" borderId="0" xfId="2" applyFont="1" applyAlignment="1">
      <alignment horizontal="left"/>
    </xf>
    <xf numFmtId="0" fontId="31" fillId="0" borderId="36" xfId="2" applyFont="1" applyBorder="1" applyAlignment="1">
      <alignment horizontal="center" vertical="center"/>
    </xf>
    <xf numFmtId="0" fontId="31" fillId="0" borderId="49" xfId="2" applyFont="1" applyBorder="1" applyAlignment="1">
      <alignment horizontal="center" vertical="center"/>
    </xf>
    <xf numFmtId="0" fontId="30" fillId="0" borderId="52" xfId="0" applyFont="1" applyBorder="1" applyAlignment="1">
      <alignment horizontal="center" vertical="center"/>
    </xf>
    <xf numFmtId="0" fontId="33" fillId="0" borderId="58" xfId="2" applyFont="1" applyBorder="1" applyAlignment="1">
      <alignment horizontal="center" vertical="center"/>
    </xf>
    <xf numFmtId="0" fontId="30" fillId="0" borderId="55" xfId="0" applyFont="1" applyBorder="1" applyAlignment="1">
      <alignment horizontal="center" vertical="center"/>
    </xf>
    <xf numFmtId="0" fontId="33" fillId="0" borderId="56" xfId="2" applyFont="1" applyBorder="1" applyAlignment="1">
      <alignment horizontal="center" vertical="center"/>
    </xf>
    <xf numFmtId="0" fontId="30" fillId="0" borderId="7" xfId="0" applyFont="1" applyBorder="1" applyAlignment="1">
      <alignment horizontal="center" vertical="center"/>
    </xf>
    <xf numFmtId="0" fontId="33" fillId="0" borderId="57" xfId="2" applyFont="1" applyBorder="1" applyAlignment="1">
      <alignment horizontal="center" vertical="center"/>
    </xf>
    <xf numFmtId="0" fontId="27" fillId="0" borderId="24" xfId="0" applyFont="1" applyBorder="1" applyAlignment="1">
      <alignment horizontal="center" vertical="center"/>
    </xf>
    <xf numFmtId="0" fontId="27" fillId="0" borderId="31" xfId="0" applyFont="1" applyBorder="1" applyAlignment="1">
      <alignment horizontal="center" vertical="center"/>
    </xf>
    <xf numFmtId="0" fontId="31" fillId="0" borderId="55" xfId="0" applyFont="1" applyBorder="1" applyAlignment="1">
      <alignment horizontal="center" vertical="center"/>
    </xf>
    <xf numFmtId="0" fontId="31" fillId="0" borderId="7" xfId="0" applyFont="1" applyBorder="1" applyAlignment="1">
      <alignment horizontal="center" vertical="center"/>
    </xf>
    <xf numFmtId="164" fontId="33" fillId="0" borderId="0" xfId="2" applyNumberFormat="1" applyFont="1" applyAlignment="1">
      <alignment horizontal="center"/>
    </xf>
    <xf numFmtId="2" fontId="35" fillId="11" borderId="6" xfId="2" applyNumberFormat="1" applyFont="1" applyFill="1" applyBorder="1" applyAlignment="1">
      <alignment horizontal="center" vertical="center"/>
    </xf>
    <xf numFmtId="0" fontId="35" fillId="0" borderId="37" xfId="2" applyFont="1" applyBorder="1" applyAlignment="1">
      <alignment horizontal="center" vertical="center"/>
    </xf>
    <xf numFmtId="2" fontId="44" fillId="11" borderId="6" xfId="2" applyNumberFormat="1" applyFont="1" applyFill="1" applyBorder="1" applyAlignment="1" applyProtection="1">
      <alignment horizontal="center" vertical="center"/>
      <protection locked="0"/>
    </xf>
    <xf numFmtId="0" fontId="30" fillId="0" borderId="49" xfId="0" applyFont="1" applyBorder="1" applyAlignment="1">
      <alignment horizontal="center" vertical="center"/>
    </xf>
    <xf numFmtId="44" fontId="27" fillId="10" borderId="37" xfId="0" applyNumberFormat="1" applyFont="1" applyFill="1" applyBorder="1" applyAlignment="1">
      <alignment horizontal="center" vertical="center" wrapText="1"/>
    </xf>
    <xf numFmtId="165" fontId="27" fillId="10" borderId="6" xfId="0" applyNumberFormat="1" applyFont="1" applyFill="1" applyBorder="1" applyAlignment="1">
      <alignment horizontal="center" vertical="center" wrapText="1"/>
    </xf>
    <xf numFmtId="0" fontId="27" fillId="10" borderId="6" xfId="0" applyFont="1" applyFill="1" applyBorder="1" applyAlignment="1">
      <alignment horizontal="center" vertical="center" wrapText="1"/>
    </xf>
    <xf numFmtId="0" fontId="27" fillId="10" borderId="6" xfId="0" applyFont="1" applyFill="1" applyBorder="1" applyAlignment="1">
      <alignment horizontal="center" vertical="center"/>
    </xf>
    <xf numFmtId="0" fontId="27" fillId="0" borderId="6" xfId="0" applyFont="1" applyBorder="1" applyAlignment="1">
      <alignment horizontal="center" vertical="center"/>
    </xf>
    <xf numFmtId="165" fontId="27" fillId="10" borderId="6" xfId="0" applyNumberFormat="1" applyFont="1" applyFill="1" applyBorder="1" applyAlignment="1">
      <alignment horizontal="center" vertical="center"/>
    </xf>
    <xf numFmtId="10" fontId="27" fillId="10" borderId="6" xfId="0" applyNumberFormat="1" applyFont="1" applyFill="1" applyBorder="1" applyAlignment="1">
      <alignment horizontal="center" vertical="center"/>
    </xf>
    <xf numFmtId="44" fontId="27" fillId="10" borderId="6" xfId="0" applyNumberFormat="1" applyFont="1" applyFill="1" applyBorder="1" applyAlignment="1">
      <alignment horizontal="center" vertical="center"/>
    </xf>
    <xf numFmtId="165" fontId="27" fillId="10" borderId="38" xfId="0" applyNumberFormat="1" applyFont="1" applyFill="1" applyBorder="1" applyAlignment="1">
      <alignment horizontal="center" vertical="center"/>
    </xf>
    <xf numFmtId="165" fontId="25" fillId="10" borderId="36" xfId="0" applyNumberFormat="1" applyFont="1" applyFill="1" applyBorder="1" applyAlignment="1">
      <alignment horizontal="center" vertical="center"/>
    </xf>
    <xf numFmtId="0" fontId="25" fillId="0" borderId="36" xfId="0" applyFont="1" applyBorder="1" applyAlignment="1">
      <alignment horizontal="center" vertical="center"/>
    </xf>
    <xf numFmtId="0" fontId="25" fillId="0" borderId="49" xfId="0" applyFont="1" applyBorder="1" applyAlignment="1">
      <alignment horizontal="center" vertical="center" wrapText="1"/>
    </xf>
    <xf numFmtId="0" fontId="27" fillId="0" borderId="37" xfId="0" applyFont="1" applyBorder="1" applyAlignment="1">
      <alignment horizontal="center" vertical="center"/>
    </xf>
    <xf numFmtId="0" fontId="33" fillId="0" borderId="27" xfId="0" applyFont="1" applyBorder="1" applyAlignment="1">
      <alignment horizontal="center" vertical="center" wrapText="1"/>
    </xf>
    <xf numFmtId="0" fontId="27" fillId="10" borderId="6" xfId="0" applyNumberFormat="1" applyFont="1" applyFill="1" applyBorder="1" applyAlignment="1">
      <alignment horizontal="center" vertical="center"/>
    </xf>
    <xf numFmtId="0" fontId="27" fillId="0" borderId="0" xfId="0" applyFont="1" applyAlignment="1">
      <alignment horizontal="center" vertical="center"/>
    </xf>
    <xf numFmtId="0" fontId="27" fillId="0" borderId="38" xfId="0" applyFont="1" applyBorder="1" applyAlignment="1">
      <alignment horizontal="center" vertical="center"/>
    </xf>
    <xf numFmtId="44" fontId="25" fillId="10" borderId="70" xfId="0" applyNumberFormat="1" applyFont="1" applyFill="1" applyBorder="1" applyAlignment="1">
      <alignment horizontal="center" vertical="center"/>
    </xf>
    <xf numFmtId="0" fontId="25" fillId="0" borderId="70" xfId="0" applyFont="1" applyBorder="1" applyAlignment="1">
      <alignment horizontal="center" vertical="center"/>
    </xf>
    <xf numFmtId="0" fontId="25" fillId="0" borderId="76" xfId="0" applyFont="1" applyBorder="1" applyAlignment="1">
      <alignment horizontal="center" vertical="center"/>
    </xf>
    <xf numFmtId="165" fontId="29" fillId="11" borderId="24" xfId="0" applyNumberFormat="1" applyFont="1" applyFill="1" applyBorder="1" applyAlignment="1">
      <alignment horizontal="center" vertical="center"/>
    </xf>
    <xf numFmtId="0" fontId="29" fillId="11" borderId="24" xfId="0" applyFont="1" applyFill="1" applyBorder="1" applyAlignment="1">
      <alignment horizontal="center" vertical="center"/>
    </xf>
    <xf numFmtId="165" fontId="29" fillId="11" borderId="31" xfId="0" applyNumberFormat="1" applyFont="1" applyFill="1" applyBorder="1" applyAlignment="1">
      <alignment horizontal="center" vertical="center"/>
    </xf>
    <xf numFmtId="0" fontId="29" fillId="11" borderId="31" xfId="0" applyFont="1" applyFill="1" applyBorder="1" applyAlignment="1">
      <alignment horizontal="center" vertical="center"/>
    </xf>
    <xf numFmtId="0" fontId="29" fillId="11" borderId="32" xfId="0" applyFont="1" applyFill="1" applyBorder="1" applyAlignment="1">
      <alignment horizontal="center" vertical="center"/>
    </xf>
    <xf numFmtId="0" fontId="30" fillId="0" borderId="0" xfId="0" applyFont="1" applyAlignment="1">
      <alignment horizontal="center" vertical="center"/>
    </xf>
    <xf numFmtId="165" fontId="30" fillId="4" borderId="0" xfId="0" applyNumberFormat="1" applyFont="1" applyFill="1" applyAlignment="1">
      <alignment horizontal="center" vertical="center"/>
    </xf>
    <xf numFmtId="0" fontId="29" fillId="11" borderId="25" xfId="0" applyFont="1" applyFill="1" applyBorder="1" applyAlignment="1">
      <alignment horizontal="center" vertical="center" wrapText="1"/>
    </xf>
    <xf numFmtId="4" fontId="32" fillId="4" borderId="17" xfId="13" applyNumberFormat="1" applyFont="1" applyFill="1" applyBorder="1" applyAlignment="1">
      <alignment vertical="center"/>
    </xf>
    <xf numFmtId="4" fontId="32" fillId="4" borderId="18" xfId="13" applyNumberFormat="1" applyFont="1" applyFill="1" applyBorder="1" applyAlignment="1">
      <alignment vertical="center" wrapText="1"/>
    </xf>
    <xf numFmtId="4" fontId="32" fillId="4" borderId="18" xfId="13" applyNumberFormat="1" applyFont="1" applyFill="1" applyBorder="1" applyAlignment="1">
      <alignment horizontal="right" vertical="center" wrapText="1"/>
    </xf>
    <xf numFmtId="17" fontId="32" fillId="4" borderId="19" xfId="13" applyNumberFormat="1" applyFont="1" applyFill="1" applyBorder="1" applyAlignment="1">
      <alignment horizontal="left" vertical="center" wrapText="1"/>
    </xf>
    <xf numFmtId="4" fontId="32" fillId="4" borderId="20" xfId="13" applyNumberFormat="1" applyFont="1" applyFill="1" applyBorder="1" applyAlignment="1">
      <alignment vertical="center"/>
    </xf>
    <xf numFmtId="4" fontId="32" fillId="4" borderId="21" xfId="13" applyNumberFormat="1" applyFont="1" applyFill="1" applyBorder="1" applyAlignment="1">
      <alignment vertical="center"/>
    </xf>
    <xf numFmtId="4" fontId="32" fillId="4" borderId="21" xfId="13" applyNumberFormat="1" applyFont="1" applyFill="1" applyBorder="1" applyAlignment="1">
      <alignment horizontal="right" vertical="center"/>
    </xf>
    <xf numFmtId="10" fontId="32" fillId="4" borderId="22" xfId="14" applyNumberFormat="1" applyFont="1" applyFill="1" applyBorder="1" applyAlignment="1">
      <alignment horizontal="left" vertical="center"/>
    </xf>
    <xf numFmtId="0" fontId="27" fillId="4" borderId="26" xfId="3" applyFont="1" applyFill="1" applyBorder="1" applyAlignment="1">
      <alignment horizontal="center"/>
    </xf>
    <xf numFmtId="0" fontId="26" fillId="4" borderId="6" xfId="3" applyFont="1" applyFill="1" applyBorder="1" applyAlignment="1">
      <alignment vertical="center" wrapText="1"/>
    </xf>
    <xf numFmtId="2" fontId="26" fillId="4" borderId="6" xfId="3" applyNumberFormat="1" applyFont="1" applyFill="1" applyBorder="1" applyAlignment="1">
      <alignment horizontal="center" vertical="center"/>
    </xf>
    <xf numFmtId="165" fontId="26" fillId="4" borderId="6" xfId="4" applyNumberFormat="1" applyFont="1" applyFill="1" applyBorder="1" applyAlignment="1">
      <alignment horizontal="center" vertical="center"/>
    </xf>
    <xf numFmtId="165" fontId="47" fillId="4" borderId="6" xfId="4" applyNumberFormat="1" applyFont="1" applyFill="1" applyBorder="1" applyAlignment="1">
      <alignment horizontal="center" vertical="center"/>
    </xf>
    <xf numFmtId="165" fontId="47" fillId="4" borderId="27" xfId="3" applyNumberFormat="1" applyFont="1" applyFill="1" applyBorder="1" applyAlignment="1">
      <alignment horizontal="center" vertical="center"/>
    </xf>
    <xf numFmtId="0" fontId="30" fillId="4" borderId="64" xfId="3" applyFont="1" applyFill="1" applyBorder="1" applyAlignment="1">
      <alignment horizontal="center"/>
    </xf>
    <xf numFmtId="0" fontId="24" fillId="4" borderId="37" xfId="3" applyFont="1" applyFill="1" applyBorder="1" applyAlignment="1">
      <alignment vertical="center" wrapText="1"/>
    </xf>
    <xf numFmtId="0" fontId="24" fillId="4" borderId="37" xfId="3" applyFont="1" applyFill="1" applyBorder="1" applyAlignment="1">
      <alignment horizontal="center" vertical="center" wrapText="1"/>
    </xf>
    <xf numFmtId="2" fontId="24" fillId="4" borderId="37" xfId="3" applyNumberFormat="1" applyFont="1" applyFill="1" applyBorder="1" applyAlignment="1">
      <alignment horizontal="center" vertical="center"/>
    </xf>
    <xf numFmtId="165" fontId="24" fillId="4" borderId="37" xfId="4" applyNumberFormat="1" applyFont="1" applyFill="1" applyBorder="1" applyAlignment="1">
      <alignment horizontal="center" vertical="center"/>
    </xf>
    <xf numFmtId="167" fontId="25" fillId="4" borderId="37" xfId="4" applyNumberFormat="1" applyFont="1" applyFill="1" applyBorder="1" applyAlignment="1">
      <alignment horizontal="center" vertical="center"/>
    </xf>
    <xf numFmtId="165" fontId="25" fillId="4" borderId="65" xfId="3" applyNumberFormat="1" applyFont="1" applyFill="1" applyBorder="1" applyAlignment="1">
      <alignment horizontal="center" vertical="center"/>
    </xf>
    <xf numFmtId="0" fontId="30" fillId="4" borderId="35" xfId="3" applyFont="1" applyFill="1" applyBorder="1" applyAlignment="1">
      <alignment vertical="center"/>
    </xf>
    <xf numFmtId="0" fontId="24" fillId="4" borderId="36" xfId="3" applyFont="1" applyFill="1" applyBorder="1" applyAlignment="1">
      <alignment horizontal="center" vertical="center"/>
    </xf>
    <xf numFmtId="0" fontId="24" fillId="4" borderId="36" xfId="3" applyFont="1" applyFill="1" applyBorder="1" applyAlignment="1">
      <alignment horizontal="center" vertical="center" wrapText="1"/>
    </xf>
    <xf numFmtId="0" fontId="24" fillId="4" borderId="49" xfId="3" applyFont="1" applyFill="1" applyBorder="1" applyAlignment="1">
      <alignment horizontal="center" vertical="center" wrapText="1"/>
    </xf>
    <xf numFmtId="0" fontId="27" fillId="4" borderId="50" xfId="3" applyFont="1" applyFill="1" applyBorder="1" applyAlignment="1">
      <alignment horizontal="center" wrapText="1"/>
    </xf>
    <xf numFmtId="0" fontId="26" fillId="4" borderId="38" xfId="3" applyFont="1" applyFill="1" applyBorder="1" applyAlignment="1">
      <alignment vertical="center" wrapText="1"/>
    </xf>
    <xf numFmtId="0" fontId="26" fillId="4" borderId="38" xfId="3" applyFont="1" applyFill="1" applyBorder="1" applyAlignment="1">
      <alignment horizontal="center" vertical="center" wrapText="1"/>
    </xf>
    <xf numFmtId="2" fontId="26" fillId="4" borderId="38" xfId="3" applyNumberFormat="1" applyFont="1" applyFill="1" applyBorder="1" applyAlignment="1">
      <alignment horizontal="center" vertical="center"/>
    </xf>
    <xf numFmtId="165" fontId="26" fillId="4" borderId="38" xfId="4" applyNumberFormat="1" applyFont="1" applyFill="1" applyBorder="1" applyAlignment="1">
      <alignment horizontal="center" vertical="center" wrapText="1"/>
    </xf>
    <xf numFmtId="165" fontId="47" fillId="4" borderId="38" xfId="4" applyNumberFormat="1" applyFont="1" applyFill="1" applyBorder="1" applyAlignment="1">
      <alignment horizontal="center" vertical="center"/>
    </xf>
    <xf numFmtId="165" fontId="47" fillId="4" borderId="51" xfId="3" applyNumberFormat="1" applyFont="1" applyFill="1" applyBorder="1" applyAlignment="1">
      <alignment horizontal="center" vertical="center" wrapText="1"/>
    </xf>
    <xf numFmtId="165" fontId="49" fillId="4" borderId="49" xfId="3" applyNumberFormat="1" applyFont="1" applyFill="1" applyBorder="1" applyAlignment="1">
      <alignment horizontal="center"/>
    </xf>
    <xf numFmtId="165" fontId="29" fillId="4" borderId="49" xfId="3" applyNumberFormat="1" applyFont="1" applyFill="1" applyBorder="1" applyAlignment="1">
      <alignment horizontal="center"/>
    </xf>
    <xf numFmtId="0" fontId="35" fillId="0" borderId="6" xfId="2" applyFont="1" applyBorder="1" applyAlignment="1">
      <alignment horizontal="center" vertical="center"/>
    </xf>
    <xf numFmtId="0" fontId="35" fillId="11" borderId="6" xfId="5" applyNumberFormat="1" applyFont="1" applyFill="1" applyBorder="1" applyAlignment="1">
      <alignment horizontal="center" vertical="center"/>
    </xf>
    <xf numFmtId="0" fontId="0" fillId="0" borderId="0" xfId="0" applyAlignment="1">
      <alignment horizontal="center" vertical="center"/>
    </xf>
    <xf numFmtId="0" fontId="33" fillId="0" borderId="78" xfId="2" applyFont="1" applyBorder="1" applyAlignment="1">
      <alignment horizontal="center" vertical="center"/>
    </xf>
    <xf numFmtId="0" fontId="30" fillId="0" borderId="12" xfId="0" applyFont="1" applyBorder="1" applyAlignment="1">
      <alignment horizontal="center" vertical="center"/>
    </xf>
    <xf numFmtId="0" fontId="33" fillId="0" borderId="79" xfId="2" applyFont="1" applyBorder="1" applyAlignment="1">
      <alignment horizontal="center" vertical="center"/>
    </xf>
    <xf numFmtId="2" fontId="31" fillId="0" borderId="27" xfId="2" applyNumberFormat="1" applyFont="1" applyBorder="1" applyAlignment="1">
      <alignment horizontal="center" vertical="center"/>
    </xf>
    <xf numFmtId="0" fontId="31" fillId="0" borderId="52" xfId="0" applyFont="1" applyBorder="1" applyAlignment="1">
      <alignment horizontal="center" vertical="center"/>
    </xf>
    <xf numFmtId="0" fontId="43" fillId="0" borderId="6" xfId="2" applyFont="1" applyBorder="1" applyAlignment="1">
      <alignment horizontal="center" vertical="center"/>
    </xf>
    <xf numFmtId="0" fontId="44" fillId="0" borderId="6" xfId="2" applyFont="1" applyBorder="1" applyAlignment="1">
      <alignment horizontal="center" vertical="center"/>
    </xf>
    <xf numFmtId="2" fontId="35" fillId="0" borderId="0" xfId="2" applyNumberFormat="1" applyFont="1"/>
    <xf numFmtId="44" fontId="27" fillId="10" borderId="6" xfId="0" applyNumberFormat="1" applyFont="1" applyFill="1" applyBorder="1" applyAlignment="1">
      <alignment horizontal="center" vertical="center" wrapText="1"/>
    </xf>
    <xf numFmtId="44" fontId="33" fillId="10" borderId="6" xfId="0" applyNumberFormat="1" applyFont="1" applyFill="1" applyBorder="1" applyAlignment="1">
      <alignment horizontal="center" vertical="center"/>
    </xf>
    <xf numFmtId="2" fontId="27" fillId="10" borderId="38" xfId="0" applyNumberFormat="1" applyFont="1" applyFill="1" applyBorder="1" applyAlignment="1">
      <alignment horizontal="center" vertical="center"/>
    </xf>
    <xf numFmtId="2" fontId="27" fillId="10" borderId="71" xfId="0" applyNumberFormat="1" applyFont="1" applyFill="1" applyBorder="1" applyAlignment="1">
      <alignment horizontal="center" vertical="center"/>
    </xf>
    <xf numFmtId="2" fontId="27" fillId="10" borderId="6" xfId="0" applyNumberFormat="1" applyFont="1" applyFill="1" applyBorder="1" applyAlignment="1">
      <alignment horizontal="center" vertical="center"/>
    </xf>
    <xf numFmtId="165" fontId="33" fillId="10" borderId="6" xfId="0" applyNumberFormat="1" applyFont="1" applyFill="1" applyBorder="1" applyAlignment="1">
      <alignment horizontal="center" vertical="center"/>
    </xf>
    <xf numFmtId="0" fontId="30" fillId="4" borderId="68" xfId="3" applyFont="1" applyFill="1" applyBorder="1" applyAlignment="1">
      <alignment vertical="center"/>
    </xf>
    <xf numFmtId="0" fontId="24" fillId="4" borderId="70" xfId="3" applyFont="1" applyFill="1" applyBorder="1" applyAlignment="1">
      <alignment horizontal="center" vertical="center"/>
    </xf>
    <xf numFmtId="0" fontId="24" fillId="4" borderId="70" xfId="3" applyFont="1" applyFill="1" applyBorder="1" applyAlignment="1">
      <alignment horizontal="center" vertical="center" wrapText="1"/>
    </xf>
    <xf numFmtId="0" fontId="24" fillId="4" borderId="76" xfId="3" applyFont="1" applyFill="1" applyBorder="1" applyAlignment="1">
      <alignment horizontal="center" vertical="center" wrapText="1"/>
    </xf>
    <xf numFmtId="0" fontId="30" fillId="4" borderId="23" xfId="3" applyFont="1" applyFill="1" applyBorder="1" applyAlignment="1">
      <alignment horizontal="center"/>
    </xf>
    <xf numFmtId="0" fontId="24" fillId="4" borderId="24" xfId="3" applyFont="1" applyFill="1" applyBorder="1" applyAlignment="1">
      <alignment vertical="center" wrapText="1"/>
    </xf>
    <xf numFmtId="0" fontId="24" fillId="4" borderId="24" xfId="3" applyFont="1" applyFill="1" applyBorder="1" applyAlignment="1">
      <alignment horizontal="center" vertical="center" wrapText="1"/>
    </xf>
    <xf numFmtId="2" fontId="24" fillId="4" borderId="24" xfId="3" applyNumberFormat="1" applyFont="1" applyFill="1" applyBorder="1" applyAlignment="1">
      <alignment horizontal="center" vertical="center"/>
    </xf>
    <xf numFmtId="165" fontId="24" fillId="4" borderId="24" xfId="4" applyNumberFormat="1" applyFont="1" applyFill="1" applyBorder="1" applyAlignment="1">
      <alignment horizontal="center" vertical="center"/>
    </xf>
    <xf numFmtId="165" fontId="25" fillId="4" borderId="24" xfId="4" applyNumberFormat="1" applyFont="1" applyFill="1" applyBorder="1" applyAlignment="1">
      <alignment horizontal="center" vertical="center"/>
    </xf>
    <xf numFmtId="165" fontId="25" fillId="4" borderId="24" xfId="3" applyNumberFormat="1" applyFont="1" applyFill="1" applyBorder="1" applyAlignment="1">
      <alignment horizontal="center" vertical="center"/>
    </xf>
    <xf numFmtId="165" fontId="25" fillId="4" borderId="25" xfId="3" applyNumberFormat="1" applyFont="1" applyFill="1" applyBorder="1" applyAlignment="1">
      <alignment horizontal="center" vertical="center"/>
    </xf>
    <xf numFmtId="167" fontId="47" fillId="4" borderId="6" xfId="4" applyNumberFormat="1" applyFont="1" applyFill="1" applyBorder="1" applyAlignment="1">
      <alignment horizontal="center" vertical="center"/>
    </xf>
    <xf numFmtId="0" fontId="27" fillId="4" borderId="50" xfId="3" applyFont="1" applyFill="1" applyBorder="1" applyAlignment="1">
      <alignment horizontal="center"/>
    </xf>
    <xf numFmtId="165" fontId="26" fillId="4" borderId="38" xfId="4" applyNumberFormat="1" applyFont="1" applyFill="1" applyBorder="1" applyAlignment="1">
      <alignment horizontal="center" vertical="center"/>
    </xf>
    <xf numFmtId="167" fontId="47" fillId="4" borderId="38" xfId="4" applyNumberFormat="1" applyFont="1" applyFill="1" applyBorder="1" applyAlignment="1">
      <alignment horizontal="center" vertical="center"/>
    </xf>
    <xf numFmtId="165" fontId="47" fillId="4" borderId="51" xfId="3" applyNumberFormat="1" applyFont="1" applyFill="1" applyBorder="1" applyAlignment="1">
      <alignment horizontal="center" vertical="center"/>
    </xf>
    <xf numFmtId="165" fontId="50" fillId="4" borderId="36" xfId="3" applyNumberFormat="1" applyFont="1" applyFill="1" applyBorder="1" applyAlignment="1">
      <alignment horizontal="center"/>
    </xf>
    <xf numFmtId="0" fontId="27" fillId="0" borderId="0" xfId="0" applyNumberFormat="1" applyFont="1"/>
    <xf numFmtId="2" fontId="27" fillId="0" borderId="0" xfId="0" applyNumberFormat="1" applyFont="1"/>
    <xf numFmtId="180" fontId="27" fillId="0" borderId="0" xfId="0" applyNumberFormat="1" applyFont="1"/>
    <xf numFmtId="20" fontId="27" fillId="0" borderId="0" xfId="0" applyNumberFormat="1" applyFont="1"/>
    <xf numFmtId="0" fontId="27" fillId="0" borderId="0" xfId="0" applyFont="1" applyBorder="1"/>
    <xf numFmtId="0" fontId="33" fillId="0" borderId="47" xfId="2" applyFont="1" applyBorder="1" applyAlignment="1">
      <alignment horizontal="center" vertical="center"/>
    </xf>
    <xf numFmtId="0" fontId="31" fillId="0" borderId="68" xfId="2" applyFont="1" applyBorder="1" applyAlignment="1">
      <alignment horizontal="center" vertical="center"/>
    </xf>
    <xf numFmtId="0" fontId="30" fillId="0" borderId="70" xfId="0" applyFont="1" applyBorder="1" applyAlignment="1">
      <alignment horizontal="center" vertical="center"/>
    </xf>
    <xf numFmtId="0" fontId="30" fillId="0" borderId="25" xfId="0" applyFont="1" applyBorder="1" applyAlignment="1">
      <alignment horizontal="center" vertical="center"/>
    </xf>
    <xf numFmtId="0" fontId="30" fillId="0" borderId="51" xfId="0" applyFont="1" applyBorder="1" applyAlignment="1">
      <alignment horizontal="center" vertical="center"/>
    </xf>
    <xf numFmtId="0" fontId="27" fillId="0" borderId="0" xfId="2" applyFont="1" applyBorder="1" applyAlignment="1">
      <alignment horizontal="center"/>
    </xf>
    <xf numFmtId="2" fontId="31" fillId="0" borderId="4" xfId="2" applyNumberFormat="1" applyFont="1" applyBorder="1" applyAlignment="1">
      <alignment horizontal="center" vertical="center"/>
    </xf>
    <xf numFmtId="3" fontId="35" fillId="11" borderId="37" xfId="2" applyNumberFormat="1" applyFont="1" applyFill="1" applyBorder="1" applyAlignment="1">
      <alignment horizontal="center" vertical="center"/>
    </xf>
    <xf numFmtId="3" fontId="35" fillId="11" borderId="6" xfId="2" applyNumberFormat="1" applyFont="1" applyFill="1" applyBorder="1" applyAlignment="1">
      <alignment horizontal="center" vertical="center"/>
    </xf>
    <xf numFmtId="164" fontId="44" fillId="11" borderId="6" xfId="2" applyNumberFormat="1" applyFont="1" applyFill="1" applyBorder="1" applyAlignment="1">
      <alignment horizontal="center" vertical="center"/>
    </xf>
    <xf numFmtId="164" fontId="35" fillId="11" borderId="6" xfId="2" applyNumberFormat="1" applyFont="1" applyFill="1" applyBorder="1" applyAlignment="1">
      <alignment horizontal="center" vertical="center"/>
    </xf>
    <xf numFmtId="166" fontId="35" fillId="11" borderId="6" xfId="5" applyNumberFormat="1" applyFont="1" applyFill="1" applyBorder="1" applyAlignment="1">
      <alignment horizontal="center" vertical="center"/>
    </xf>
    <xf numFmtId="2" fontId="35" fillId="11" borderId="6" xfId="2" applyNumberFormat="1" applyFont="1" applyFill="1" applyBorder="1" applyAlignment="1" applyProtection="1">
      <alignment horizontal="center" vertical="center"/>
      <protection locked="0"/>
    </xf>
    <xf numFmtId="0" fontId="33" fillId="0" borderId="0" xfId="2" applyFont="1" applyBorder="1"/>
    <xf numFmtId="164" fontId="33" fillId="0" borderId="0" xfId="2" applyNumberFormat="1" applyFont="1" applyBorder="1" applyAlignment="1">
      <alignment horizontal="center"/>
    </xf>
    <xf numFmtId="0" fontId="31" fillId="0" borderId="14" xfId="0" applyFont="1" applyBorder="1" applyAlignment="1">
      <alignment horizontal="center" vertical="center"/>
    </xf>
    <xf numFmtId="164" fontId="31" fillId="0" borderId="70" xfId="2" applyNumberFormat="1" applyFont="1" applyBorder="1" applyAlignment="1">
      <alignment horizontal="center" vertical="center"/>
    </xf>
    <xf numFmtId="0" fontId="33" fillId="0" borderId="24" xfId="0" applyFont="1" applyBorder="1" applyAlignment="1">
      <alignment horizontal="center" vertical="center"/>
    </xf>
    <xf numFmtId="0" fontId="33" fillId="0" borderId="38" xfId="0" applyFont="1" applyBorder="1" applyAlignment="1">
      <alignment horizontal="center" vertical="center"/>
    </xf>
    <xf numFmtId="0" fontId="27" fillId="0" borderId="13" xfId="0" applyFont="1" applyBorder="1" applyAlignment="1">
      <alignment horizontal="center" vertical="center"/>
    </xf>
    <xf numFmtId="0" fontId="27" fillId="0" borderId="8" xfId="0" applyFont="1" applyBorder="1" applyAlignment="1">
      <alignment horizontal="center" vertical="center"/>
    </xf>
    <xf numFmtId="0" fontId="27" fillId="0" borderId="30" xfId="0" applyFont="1" applyBorder="1" applyAlignment="1">
      <alignment horizontal="center" vertical="center"/>
    </xf>
    <xf numFmtId="0" fontId="27" fillId="0" borderId="61" xfId="0" applyFont="1" applyBorder="1" applyAlignment="1">
      <alignment horizontal="center" vertical="center"/>
    </xf>
    <xf numFmtId="179" fontId="27" fillId="0" borderId="0" xfId="0" applyNumberFormat="1" applyFont="1" applyBorder="1" applyAlignment="1">
      <alignment horizontal="left"/>
    </xf>
    <xf numFmtId="0" fontId="33" fillId="10" borderId="26" xfId="2" applyFont="1" applyFill="1" applyBorder="1" applyAlignment="1" applyProtection="1">
      <alignment horizontal="center" vertical="center"/>
      <protection locked="0"/>
    </xf>
    <xf numFmtId="164" fontId="33" fillId="10" borderId="27" xfId="2" applyNumberFormat="1" applyFont="1" applyFill="1" applyBorder="1" applyAlignment="1" applyProtection="1">
      <alignment horizontal="center" vertical="center"/>
      <protection locked="0"/>
    </xf>
    <xf numFmtId="0" fontId="33" fillId="4" borderId="26" xfId="2" applyFont="1" applyFill="1" applyBorder="1" applyAlignment="1" applyProtection="1">
      <alignment horizontal="center" vertical="center"/>
      <protection locked="0"/>
    </xf>
    <xf numFmtId="164" fontId="33" fillId="4" borderId="27" xfId="2" applyNumberFormat="1" applyFont="1" applyFill="1" applyBorder="1" applyAlignment="1" applyProtection="1">
      <alignment horizontal="center" vertical="center"/>
      <protection locked="0"/>
    </xf>
    <xf numFmtId="2" fontId="43" fillId="11" borderId="31" xfId="2" applyNumberFormat="1" applyFont="1" applyFill="1" applyBorder="1" applyAlignment="1">
      <alignment horizontal="center" vertical="center"/>
    </xf>
    <xf numFmtId="0" fontId="43" fillId="0" borderId="31" xfId="2" applyFont="1" applyBorder="1" applyAlignment="1">
      <alignment horizontal="center" vertical="center"/>
    </xf>
    <xf numFmtId="0" fontId="30" fillId="0" borderId="35" xfId="0" applyFont="1" applyBorder="1" applyAlignment="1">
      <alignment horizontal="center" vertical="center"/>
    </xf>
    <xf numFmtId="0" fontId="30" fillId="0" borderId="36" xfId="0" applyFont="1" applyBorder="1" applyAlignment="1">
      <alignment horizontal="center" vertical="center"/>
    </xf>
    <xf numFmtId="0" fontId="27" fillId="0" borderId="6" xfId="0" applyFont="1" applyBorder="1" applyAlignment="1">
      <alignment horizontal="center" vertical="center"/>
    </xf>
    <xf numFmtId="0" fontId="27" fillId="0" borderId="37" xfId="0" applyFont="1" applyBorder="1" applyAlignment="1">
      <alignment horizontal="center" vertical="center"/>
    </xf>
    <xf numFmtId="0" fontId="27" fillId="0" borderId="6" xfId="0" applyFont="1" applyBorder="1" applyAlignment="1">
      <alignment horizontal="center" vertical="center" wrapText="1"/>
    </xf>
    <xf numFmtId="0" fontId="27" fillId="0" borderId="51" xfId="0" applyFont="1" applyBorder="1" applyAlignment="1">
      <alignment horizontal="center" vertical="center"/>
    </xf>
    <xf numFmtId="0" fontId="30" fillId="0" borderId="6" xfId="0" applyFont="1" applyBorder="1" applyAlignment="1">
      <alignment horizontal="center" vertical="center" wrapText="1"/>
    </xf>
    <xf numFmtId="0" fontId="27" fillId="0" borderId="37" xfId="0" applyFont="1" applyBorder="1" applyAlignment="1">
      <alignment horizontal="center" vertical="center" wrapText="1"/>
    </xf>
    <xf numFmtId="0" fontId="27" fillId="0" borderId="27" xfId="0" applyFont="1" applyBorder="1" applyAlignment="1">
      <alignment horizontal="center" vertical="center" wrapText="1"/>
    </xf>
    <xf numFmtId="0" fontId="27" fillId="0" borderId="27" xfId="0" applyFont="1" applyBorder="1" applyAlignment="1">
      <alignment horizontal="center" vertical="center"/>
    </xf>
    <xf numFmtId="0" fontId="27" fillId="0" borderId="38" xfId="0" applyFont="1" applyBorder="1" applyAlignment="1">
      <alignment horizontal="center" vertical="center"/>
    </xf>
    <xf numFmtId="0" fontId="27" fillId="0" borderId="38" xfId="0" applyFont="1" applyBorder="1" applyAlignment="1">
      <alignment horizontal="center" vertical="center" wrapText="1"/>
    </xf>
    <xf numFmtId="0" fontId="27" fillId="0" borderId="51" xfId="0" applyFont="1" applyBorder="1" applyAlignment="1">
      <alignment horizontal="center" vertical="center" wrapText="1"/>
    </xf>
    <xf numFmtId="0" fontId="27" fillId="0" borderId="65" xfId="0" applyFont="1" applyBorder="1" applyAlignment="1">
      <alignment horizontal="center" vertical="center" wrapText="1"/>
    </xf>
    <xf numFmtId="0" fontId="27" fillId="0" borderId="10" xfId="0" applyFont="1" applyBorder="1" applyAlignment="1">
      <alignment horizontal="center" vertical="center" wrapText="1"/>
    </xf>
    <xf numFmtId="44" fontId="27" fillId="10" borderId="38" xfId="0" applyNumberFormat="1" applyFont="1" applyFill="1" applyBorder="1" applyAlignment="1">
      <alignment horizontal="center" vertical="center"/>
    </xf>
    <xf numFmtId="2" fontId="27" fillId="0" borderId="51" xfId="0" applyNumberFormat="1" applyFont="1" applyBorder="1" applyAlignment="1">
      <alignment horizontal="center" vertical="center" wrapText="1"/>
    </xf>
    <xf numFmtId="0" fontId="33" fillId="0" borderId="65" xfId="0" applyFont="1" applyBorder="1" applyAlignment="1">
      <alignment horizontal="center" vertical="center" wrapText="1"/>
    </xf>
    <xf numFmtId="0" fontId="33" fillId="10" borderId="64" xfId="2" applyFont="1" applyFill="1" applyBorder="1" applyAlignment="1" applyProtection="1">
      <alignment horizontal="center" vertical="center"/>
      <protection locked="0"/>
    </xf>
    <xf numFmtId="2" fontId="33" fillId="10" borderId="37" xfId="2" applyNumberFormat="1" applyFont="1" applyFill="1" applyBorder="1" applyAlignment="1" applyProtection="1">
      <alignment horizontal="center" vertical="center"/>
      <protection locked="0"/>
    </xf>
    <xf numFmtId="2" fontId="33" fillId="10" borderId="37" xfId="2" applyNumberFormat="1" applyFont="1" applyFill="1" applyBorder="1" applyAlignment="1" applyProtection="1">
      <alignment horizontal="center" vertical="center" wrapText="1"/>
      <protection locked="0"/>
    </xf>
    <xf numFmtId="0" fontId="33" fillId="10" borderId="37" xfId="2" applyFont="1" applyFill="1" applyBorder="1" applyAlignment="1" applyProtection="1">
      <alignment horizontal="center" vertical="center"/>
      <protection locked="0"/>
    </xf>
    <xf numFmtId="164" fontId="33" fillId="10" borderId="65" xfId="2" applyNumberFormat="1" applyFont="1" applyFill="1" applyBorder="1" applyAlignment="1" applyProtection="1">
      <alignment horizontal="center" vertical="center"/>
      <protection locked="0"/>
    </xf>
    <xf numFmtId="4" fontId="31" fillId="0" borderId="35" xfId="3" applyNumberFormat="1" applyFont="1" applyBorder="1" applyAlignment="1">
      <alignment horizontal="center" vertical="center" wrapText="1"/>
    </xf>
    <xf numFmtId="2" fontId="31" fillId="0" borderId="36" xfId="3" applyNumberFormat="1" applyFont="1" applyBorder="1" applyAlignment="1">
      <alignment horizontal="center" vertical="center" wrapText="1"/>
    </xf>
    <xf numFmtId="4" fontId="31" fillId="0" borderId="36" xfId="3" applyNumberFormat="1" applyFont="1" applyBorder="1" applyAlignment="1">
      <alignment horizontal="center" vertical="center" wrapText="1"/>
    </xf>
    <xf numFmtId="0" fontId="31" fillId="0" borderId="36" xfId="2" applyFont="1" applyBorder="1" applyAlignment="1">
      <alignment horizontal="center" vertical="center" wrapText="1"/>
    </xf>
    <xf numFmtId="0" fontId="31" fillId="0" borderId="49" xfId="2" applyFont="1" applyBorder="1" applyAlignment="1">
      <alignment horizontal="center" vertical="center" wrapText="1"/>
    </xf>
    <xf numFmtId="2" fontId="31" fillId="0" borderId="32" xfId="2" applyNumberFormat="1" applyFont="1" applyBorder="1" applyAlignment="1">
      <alignment horizontal="center" vertical="center"/>
    </xf>
    <xf numFmtId="0" fontId="27" fillId="0" borderId="0" xfId="0" applyFont="1" applyBorder="1" applyAlignment="1">
      <alignment horizontal="center" vertical="center"/>
    </xf>
    <xf numFmtId="0" fontId="30" fillId="0" borderId="73" xfId="0" applyFont="1" applyBorder="1" applyAlignment="1">
      <alignment horizontal="center" vertical="center"/>
    </xf>
    <xf numFmtId="0" fontId="30" fillId="0" borderId="66" xfId="0" applyFont="1" applyBorder="1" applyAlignment="1">
      <alignment horizontal="center" vertical="center" wrapText="1"/>
    </xf>
    <xf numFmtId="0" fontId="30" fillId="0" borderId="66" xfId="0" applyFont="1" applyFill="1" applyBorder="1" applyAlignment="1">
      <alignment horizontal="center" vertical="center" wrapText="1"/>
    </xf>
    <xf numFmtId="0" fontId="30" fillId="0" borderId="67" xfId="0" applyFont="1" applyFill="1" applyBorder="1" applyAlignment="1">
      <alignment horizontal="center" vertical="center" wrapText="1"/>
    </xf>
    <xf numFmtId="0" fontId="0" fillId="0" borderId="0" xfId="0" applyFill="1" applyBorder="1" applyAlignment="1">
      <alignment horizontal="center" vertical="center"/>
    </xf>
    <xf numFmtId="0" fontId="0" fillId="0" borderId="64" xfId="0" applyBorder="1" applyAlignment="1">
      <alignment horizontal="center" vertical="center"/>
    </xf>
    <xf numFmtId="44" fontId="25" fillId="7" borderId="3" xfId="0" applyNumberFormat="1" applyFont="1" applyFill="1" applyBorder="1"/>
    <xf numFmtId="0" fontId="26" fillId="7" borderId="64" xfId="13" applyFont="1" applyFill="1" applyBorder="1" applyAlignment="1">
      <alignment horizontal="center" vertical="center"/>
    </xf>
    <xf numFmtId="0" fontId="26" fillId="7" borderId="37" xfId="13" applyFont="1" applyFill="1" applyBorder="1" applyAlignment="1">
      <alignment horizontal="center" vertical="center"/>
    </xf>
    <xf numFmtId="0" fontId="26" fillId="7" borderId="37" xfId="13" applyFont="1" applyFill="1" applyBorder="1" applyAlignment="1">
      <alignment horizontal="center" vertical="center" wrapText="1"/>
    </xf>
    <xf numFmtId="0" fontId="26" fillId="7" borderId="65" xfId="13" applyFont="1" applyFill="1" applyBorder="1" applyAlignment="1">
      <alignment horizontal="center" vertical="center"/>
    </xf>
    <xf numFmtId="0" fontId="26" fillId="7" borderId="26" xfId="13" applyFont="1" applyFill="1" applyBorder="1" applyAlignment="1">
      <alignment horizontal="left"/>
    </xf>
    <xf numFmtId="0" fontId="26" fillId="7" borderId="6" xfId="13" applyFont="1" applyFill="1" applyBorder="1" applyAlignment="1" applyProtection="1">
      <alignment horizontal="center"/>
      <protection locked="0"/>
    </xf>
    <xf numFmtId="0" fontId="51" fillId="7" borderId="26" xfId="13" applyFont="1" applyFill="1" applyBorder="1" applyAlignment="1">
      <alignment horizontal="left"/>
    </xf>
    <xf numFmtId="1" fontId="51" fillId="7" borderId="6" xfId="13" applyNumberFormat="1" applyFont="1" applyFill="1" applyBorder="1" applyAlignment="1" applyProtection="1">
      <alignment horizontal="center"/>
      <protection locked="0"/>
    </xf>
    <xf numFmtId="44" fontId="26" fillId="7" borderId="6" xfId="13" applyNumberFormat="1" applyFont="1" applyFill="1" applyBorder="1" applyAlignment="1">
      <alignment wrapText="1"/>
    </xf>
    <xf numFmtId="0" fontId="26" fillId="7" borderId="42" xfId="13" applyFont="1" applyFill="1" applyBorder="1" applyAlignment="1">
      <alignment horizontal="center"/>
    </xf>
    <xf numFmtId="0" fontId="26" fillId="7" borderId="0" xfId="13" applyFont="1" applyFill="1" applyBorder="1" applyAlignment="1">
      <alignment horizontal="center"/>
    </xf>
    <xf numFmtId="0" fontId="26" fillId="7" borderId="15" xfId="13" applyFont="1" applyFill="1" applyBorder="1" applyAlignment="1">
      <alignment horizontal="center"/>
    </xf>
    <xf numFmtId="0" fontId="47" fillId="7" borderId="15" xfId="0" applyFont="1" applyFill="1" applyBorder="1"/>
    <xf numFmtId="0" fontId="47" fillId="7" borderId="47" xfId="0" applyFont="1" applyFill="1" applyBorder="1"/>
    <xf numFmtId="0" fontId="26" fillId="7" borderId="12" xfId="13" applyFont="1" applyFill="1" applyBorder="1" applyAlignment="1">
      <alignment horizontal="center" vertical="center" wrapText="1"/>
    </xf>
    <xf numFmtId="0" fontId="26" fillId="7" borderId="50" xfId="13" applyFont="1" applyFill="1" applyBorder="1" applyAlignment="1">
      <alignment horizontal="left" vertical="center"/>
    </xf>
    <xf numFmtId="0" fontId="26" fillId="7" borderId="14" xfId="13" applyFont="1" applyFill="1" applyBorder="1" applyAlignment="1">
      <alignment horizontal="center" vertical="center" wrapText="1"/>
    </xf>
    <xf numFmtId="44" fontId="47" fillId="7" borderId="6" xfId="0" applyNumberFormat="1" applyFont="1" applyFill="1" applyBorder="1" applyAlignment="1">
      <alignment horizontal="center" vertical="center"/>
    </xf>
    <xf numFmtId="44" fontId="47" fillId="7" borderId="27" xfId="0" applyNumberFormat="1" applyFont="1" applyFill="1" applyBorder="1" applyAlignment="1">
      <alignment horizontal="center" vertical="center"/>
    </xf>
    <xf numFmtId="0" fontId="26" fillId="7" borderId="26" xfId="13" applyFont="1" applyFill="1" applyBorder="1" applyAlignment="1">
      <alignment horizontal="left" wrapText="1"/>
    </xf>
    <xf numFmtId="1" fontId="26" fillId="7" borderId="6" xfId="13" applyNumberFormat="1" applyFont="1" applyFill="1" applyBorder="1" applyAlignment="1">
      <alignment horizontal="center" vertical="center"/>
    </xf>
    <xf numFmtId="165" fontId="26" fillId="7" borderId="6" xfId="13" applyNumberFormat="1" applyFont="1" applyFill="1" applyBorder="1" applyAlignment="1">
      <alignment horizontal="center" vertical="center"/>
    </xf>
    <xf numFmtId="44" fontId="26" fillId="7" borderId="6" xfId="13" applyNumberFormat="1" applyFont="1" applyFill="1" applyBorder="1" applyAlignment="1">
      <alignment horizontal="center" vertical="center"/>
    </xf>
    <xf numFmtId="0" fontId="26" fillId="7" borderId="42" xfId="13" applyFont="1" applyFill="1" applyBorder="1"/>
    <xf numFmtId="0" fontId="26" fillId="7" borderId="0" xfId="13" applyFont="1" applyFill="1" applyBorder="1"/>
    <xf numFmtId="0" fontId="47" fillId="7" borderId="0" xfId="0" applyFont="1" applyFill="1" applyBorder="1"/>
    <xf numFmtId="0" fontId="47" fillId="7" borderId="39" xfId="0" applyFont="1" applyFill="1" applyBorder="1"/>
    <xf numFmtId="0" fontId="47" fillId="7" borderId="0" xfId="0" applyFont="1" applyFill="1"/>
    <xf numFmtId="0" fontId="47" fillId="7" borderId="0" xfId="0" applyFont="1" applyFill="1" applyBorder="1" applyAlignment="1">
      <alignment horizontal="left"/>
    </xf>
    <xf numFmtId="0" fontId="25" fillId="7" borderId="1" xfId="0" applyFont="1" applyFill="1" applyBorder="1"/>
    <xf numFmtId="0" fontId="47" fillId="7" borderId="2" xfId="0" applyFont="1" applyFill="1" applyBorder="1"/>
    <xf numFmtId="165" fontId="25" fillId="7" borderId="3" xfId="0" applyNumberFormat="1" applyFont="1" applyFill="1" applyBorder="1"/>
    <xf numFmtId="44" fontId="47" fillId="7" borderId="6" xfId="0" applyNumberFormat="1" applyFont="1" applyFill="1" applyBorder="1" applyAlignment="1"/>
    <xf numFmtId="44" fontId="47" fillId="7" borderId="27" xfId="0" applyNumberFormat="1" applyFont="1" applyFill="1" applyBorder="1" applyAlignment="1"/>
    <xf numFmtId="44" fontId="51" fillId="7" borderId="6" xfId="0" applyNumberFormat="1" applyFont="1" applyFill="1" applyBorder="1" applyAlignment="1"/>
    <xf numFmtId="44" fontId="51" fillId="7" borderId="27" xfId="0" applyNumberFormat="1" applyFont="1" applyFill="1" applyBorder="1" applyAlignment="1"/>
    <xf numFmtId="4" fontId="32" fillId="4" borderId="17" xfId="13" applyNumberFormat="1" applyFont="1" applyFill="1" applyBorder="1" applyAlignment="1">
      <alignment vertical="center" wrapText="1"/>
    </xf>
    <xf numFmtId="4" fontId="32" fillId="4" borderId="18" xfId="13" applyNumberFormat="1" applyFont="1" applyFill="1" applyBorder="1" applyAlignment="1">
      <alignment vertical="center"/>
    </xf>
    <xf numFmtId="0" fontId="0" fillId="11" borderId="0" xfId="0" applyFill="1"/>
    <xf numFmtId="44" fontId="0" fillId="0" borderId="0" xfId="0" applyNumberFormat="1"/>
    <xf numFmtId="10" fontId="32" fillId="4" borderId="22" xfId="13" applyNumberFormat="1" applyFont="1" applyFill="1" applyBorder="1" applyAlignment="1">
      <alignment horizontal="left" vertical="center"/>
    </xf>
    <xf numFmtId="4" fontId="32" fillId="7" borderId="18" xfId="13" applyNumberFormat="1" applyFont="1" applyFill="1" applyBorder="1" applyAlignment="1">
      <alignment horizontal="left" vertical="center" wrapText="1"/>
    </xf>
    <xf numFmtId="0" fontId="30" fillId="4" borderId="23" xfId="3" applyFont="1" applyFill="1" applyBorder="1" applyAlignment="1">
      <alignment horizontal="center" vertical="center"/>
    </xf>
    <xf numFmtId="0" fontId="24" fillId="4" borderId="24" xfId="3" applyFont="1" applyFill="1" applyBorder="1" applyAlignment="1">
      <alignment horizontal="center" vertical="center"/>
    </xf>
    <xf numFmtId="44" fontId="24" fillId="4" borderId="24" xfId="15" applyFont="1" applyFill="1" applyBorder="1" applyAlignment="1">
      <alignment horizontal="center" vertical="center" wrapText="1"/>
    </xf>
    <xf numFmtId="44" fontId="24" fillId="4" borderId="25" xfId="15" applyFont="1" applyFill="1" applyBorder="1" applyAlignment="1">
      <alignment horizontal="center" vertical="center" wrapText="1"/>
    </xf>
    <xf numFmtId="0" fontId="30" fillId="4" borderId="26" xfId="3" applyFont="1" applyFill="1" applyBorder="1" applyAlignment="1">
      <alignment horizontal="center"/>
    </xf>
    <xf numFmtId="165" fontId="50" fillId="4" borderId="31" xfId="3" applyNumberFormat="1" applyFont="1" applyFill="1" applyBorder="1" applyAlignment="1">
      <alignment horizontal="center"/>
    </xf>
    <xf numFmtId="165" fontId="29" fillId="4" borderId="32" xfId="3" applyNumberFormat="1" applyFont="1" applyFill="1" applyBorder="1" applyAlignment="1">
      <alignment horizontal="center"/>
    </xf>
    <xf numFmtId="0" fontId="27" fillId="0" borderId="0" xfId="3" applyFont="1" applyBorder="1"/>
    <xf numFmtId="0" fontId="27" fillId="0" borderId="39" xfId="3" applyFont="1" applyBorder="1"/>
    <xf numFmtId="0" fontId="35" fillId="4" borderId="42" xfId="2" applyFont="1" applyFill="1" applyBorder="1"/>
    <xf numFmtId="0" fontId="35" fillId="4" borderId="0" xfId="2" applyFont="1" applyFill="1" applyBorder="1"/>
    <xf numFmtId="0" fontId="36" fillId="4" borderId="0" xfId="13" applyFont="1" applyFill="1" applyBorder="1"/>
    <xf numFmtId="4" fontId="33" fillId="4" borderId="0" xfId="13" applyNumberFormat="1" applyFont="1" applyFill="1" applyBorder="1" applyAlignment="1">
      <alignment vertical="center" wrapText="1" shrinkToFit="1"/>
    </xf>
    <xf numFmtId="4" fontId="33" fillId="4" borderId="0" xfId="13" applyNumberFormat="1" applyFont="1" applyFill="1" applyBorder="1" applyAlignment="1">
      <alignment vertical="center"/>
    </xf>
    <xf numFmtId="0" fontId="30" fillId="4" borderId="68" xfId="3" applyFont="1" applyFill="1" applyBorder="1" applyAlignment="1">
      <alignment horizontal="center" vertical="center"/>
    </xf>
    <xf numFmtId="0" fontId="24" fillId="4" borderId="80" xfId="3" applyFont="1" applyFill="1" applyBorder="1" applyAlignment="1">
      <alignment horizontal="center" vertical="center"/>
    </xf>
    <xf numFmtId="0" fontId="24" fillId="4" borderId="68" xfId="15" applyNumberFormat="1" applyFont="1" applyFill="1" applyBorder="1" applyAlignment="1">
      <alignment horizontal="center" vertical="center" wrapText="1"/>
    </xf>
    <xf numFmtId="0" fontId="24" fillId="4" borderId="70" xfId="15" applyNumberFormat="1" applyFont="1" applyFill="1" applyBorder="1" applyAlignment="1">
      <alignment horizontal="center" vertical="center" wrapText="1"/>
    </xf>
    <xf numFmtId="0" fontId="24" fillId="4" borderId="76" xfId="15" applyNumberFormat="1" applyFont="1" applyFill="1" applyBorder="1" applyAlignment="1">
      <alignment horizontal="center" vertical="center" wrapText="1"/>
    </xf>
    <xf numFmtId="10" fontId="27" fillId="8" borderId="23" xfId="0" applyNumberFormat="1" applyFont="1" applyFill="1" applyBorder="1" applyAlignment="1">
      <alignment horizontal="center" vertical="center"/>
    </xf>
    <xf numFmtId="44" fontId="47" fillId="4" borderId="26" xfId="15" applyNumberFormat="1" applyFont="1" applyFill="1" applyBorder="1" applyAlignment="1">
      <alignment horizontal="center" vertical="center"/>
    </xf>
    <xf numFmtId="10" fontId="27" fillId="8" borderId="26" xfId="0" applyNumberFormat="1" applyFont="1" applyFill="1" applyBorder="1" applyAlignment="1">
      <alignment horizontal="center" vertical="center"/>
    </xf>
    <xf numFmtId="0" fontId="26" fillId="4" borderId="6" xfId="3" applyNumberFormat="1" applyFont="1" applyFill="1" applyBorder="1" applyAlignment="1">
      <alignment horizontal="center" vertical="center"/>
    </xf>
    <xf numFmtId="44" fontId="26" fillId="4" borderId="6" xfId="3" applyNumberFormat="1" applyFont="1" applyFill="1" applyBorder="1" applyAlignment="1">
      <alignment horizontal="center" vertical="center"/>
    </xf>
    <xf numFmtId="44" fontId="47" fillId="4" borderId="6" xfId="15" applyFont="1" applyFill="1" applyBorder="1" applyAlignment="1">
      <alignment horizontal="center" vertical="center"/>
    </xf>
    <xf numFmtId="44" fontId="47" fillId="4" borderId="27" xfId="15" applyFont="1" applyFill="1" applyBorder="1" applyAlignment="1">
      <alignment horizontal="center" vertical="center"/>
    </xf>
    <xf numFmtId="0" fontId="26" fillId="4" borderId="6" xfId="3" applyFont="1" applyFill="1" applyBorder="1" applyAlignment="1">
      <alignment vertical="center"/>
    </xf>
    <xf numFmtId="0" fontId="30" fillId="0" borderId="35" xfId="0" applyFont="1" applyBorder="1" applyAlignment="1">
      <alignment horizontal="center" vertical="center"/>
    </xf>
    <xf numFmtId="0" fontId="30" fillId="0" borderId="36" xfId="0" applyFont="1" applyBorder="1" applyAlignment="1">
      <alignment horizontal="center" vertical="center"/>
    </xf>
    <xf numFmtId="0" fontId="27" fillId="0" borderId="6" xfId="0" applyFont="1" applyBorder="1" applyAlignment="1">
      <alignment horizontal="center" vertical="center"/>
    </xf>
    <xf numFmtId="0" fontId="27" fillId="0" borderId="37" xfId="0" applyFont="1" applyBorder="1" applyAlignment="1">
      <alignment horizontal="center" vertical="center"/>
    </xf>
    <xf numFmtId="0" fontId="35" fillId="0" borderId="37" xfId="2" applyFont="1" applyBorder="1" applyAlignment="1">
      <alignment horizontal="center" vertical="center"/>
    </xf>
    <xf numFmtId="0" fontId="35" fillId="0" borderId="6" xfId="2" applyFont="1" applyBorder="1" applyAlignment="1">
      <alignment horizontal="center" vertical="center"/>
    </xf>
    <xf numFmtId="0" fontId="43" fillId="0" borderId="31" xfId="2" applyFont="1" applyBorder="1" applyAlignment="1">
      <alignment horizontal="center" vertical="center"/>
    </xf>
    <xf numFmtId="0" fontId="32" fillId="0" borderId="66" xfId="3" applyFont="1" applyBorder="1" applyAlignment="1">
      <alignment horizontal="center" vertical="center" wrapText="1"/>
    </xf>
    <xf numFmtId="0" fontId="0" fillId="0" borderId="6" xfId="0" applyBorder="1" applyAlignment="1">
      <alignment horizontal="center" vertical="center"/>
    </xf>
    <xf numFmtId="0" fontId="27" fillId="0" borderId="6" xfId="0" applyFont="1" applyBorder="1" applyAlignment="1">
      <alignment horizontal="center" vertical="center" wrapText="1"/>
    </xf>
    <xf numFmtId="0" fontId="27" fillId="0" borderId="51" xfId="0" applyFont="1" applyBorder="1" applyAlignment="1">
      <alignment horizontal="center" vertical="center"/>
    </xf>
    <xf numFmtId="0" fontId="27" fillId="0" borderId="65" xfId="0" applyFont="1" applyBorder="1" applyAlignment="1">
      <alignment horizontal="center" vertical="center"/>
    </xf>
    <xf numFmtId="0" fontId="30" fillId="0" borderId="6" xfId="0" applyFont="1" applyBorder="1" applyAlignment="1">
      <alignment horizontal="center" vertical="center" wrapText="1"/>
    </xf>
    <xf numFmtId="0" fontId="27" fillId="0" borderId="37" xfId="0" applyFont="1" applyBorder="1" applyAlignment="1">
      <alignment horizontal="center" vertical="center" wrapText="1"/>
    </xf>
    <xf numFmtId="0" fontId="27" fillId="0" borderId="27" xfId="0" applyFont="1" applyBorder="1" applyAlignment="1">
      <alignment horizontal="center" vertical="center" wrapText="1"/>
    </xf>
    <xf numFmtId="0" fontId="27" fillId="0" borderId="27" xfId="0" applyFont="1" applyBorder="1" applyAlignment="1">
      <alignment horizontal="center" vertical="center"/>
    </xf>
    <xf numFmtId="0" fontId="27" fillId="0" borderId="38" xfId="0" applyFont="1" applyBorder="1" applyAlignment="1">
      <alignment horizontal="center" vertical="center" wrapText="1"/>
    </xf>
    <xf numFmtId="0" fontId="27" fillId="0" borderId="51" xfId="0" applyFont="1" applyBorder="1" applyAlignment="1">
      <alignment horizontal="center" vertical="center" wrapText="1"/>
    </xf>
    <xf numFmtId="0" fontId="27" fillId="0" borderId="65" xfId="0" applyFont="1" applyBorder="1" applyAlignment="1">
      <alignment horizontal="center" vertical="center" wrapText="1"/>
    </xf>
    <xf numFmtId="0" fontId="0" fillId="0" borderId="65" xfId="0" applyBorder="1" applyAlignment="1">
      <alignment horizontal="center" vertical="center"/>
    </xf>
    <xf numFmtId="0" fontId="0" fillId="0" borderId="37" xfId="0" applyBorder="1" applyAlignment="1">
      <alignment horizontal="center" vertical="center"/>
    </xf>
    <xf numFmtId="0" fontId="51" fillId="7" borderId="0" xfId="0" applyFont="1" applyFill="1" applyAlignment="1">
      <alignment horizontal="center"/>
    </xf>
    <xf numFmtId="0" fontId="27" fillId="7" borderId="37" xfId="0" applyFont="1" applyFill="1" applyBorder="1" applyAlignment="1">
      <alignment horizontal="center" vertical="center"/>
    </xf>
    <xf numFmtId="2" fontId="27" fillId="7" borderId="37" xfId="0" applyNumberFormat="1" applyFont="1" applyFill="1" applyBorder="1" applyAlignment="1">
      <alignment horizontal="center" vertical="center"/>
    </xf>
    <xf numFmtId="180" fontId="27" fillId="7" borderId="37" xfId="0" applyNumberFormat="1" applyFont="1" applyFill="1" applyBorder="1" applyAlignment="1">
      <alignment horizontal="center" vertical="center"/>
    </xf>
    <xf numFmtId="0" fontId="27" fillId="7" borderId="65" xfId="0" applyFont="1" applyFill="1" applyBorder="1" applyAlignment="1">
      <alignment horizontal="center" vertical="center"/>
    </xf>
    <xf numFmtId="0" fontId="27" fillId="7" borderId="6" xfId="0" applyFont="1" applyFill="1" applyBorder="1" applyAlignment="1">
      <alignment horizontal="center" vertical="center"/>
    </xf>
    <xf numFmtId="180" fontId="27" fillId="7" borderId="6" xfId="0" applyNumberFormat="1" applyFont="1" applyFill="1" applyBorder="1" applyAlignment="1">
      <alignment horizontal="center" vertical="center"/>
    </xf>
    <xf numFmtId="0" fontId="27" fillId="7" borderId="38" xfId="0" applyFont="1" applyFill="1" applyBorder="1" applyAlignment="1">
      <alignment horizontal="center" vertical="center" wrapText="1"/>
    </xf>
    <xf numFmtId="0" fontId="27" fillId="7" borderId="38" xfId="0" applyFont="1" applyFill="1" applyBorder="1" applyAlignment="1">
      <alignment horizontal="center" vertical="center"/>
    </xf>
    <xf numFmtId="0" fontId="27" fillId="7" borderId="6" xfId="0" applyFont="1" applyFill="1" applyBorder="1" applyAlignment="1">
      <alignment vertical="center"/>
    </xf>
    <xf numFmtId="0" fontId="27" fillId="7" borderId="24" xfId="0" applyFont="1" applyFill="1" applyBorder="1" applyAlignment="1">
      <alignment horizontal="center" vertical="center"/>
    </xf>
    <xf numFmtId="2" fontId="27" fillId="7" borderId="24" xfId="0" applyNumberFormat="1" applyFont="1" applyFill="1" applyBorder="1" applyAlignment="1">
      <alignment horizontal="center" vertical="center"/>
    </xf>
    <xf numFmtId="180" fontId="27" fillId="7" borderId="24" xfId="0" applyNumberFormat="1" applyFont="1" applyFill="1" applyBorder="1" applyAlignment="1">
      <alignment horizontal="center" vertical="center"/>
    </xf>
    <xf numFmtId="0" fontId="27" fillId="7" borderId="25" xfId="0" applyFont="1" applyFill="1" applyBorder="1" applyAlignment="1">
      <alignment horizontal="center" vertical="center"/>
    </xf>
    <xf numFmtId="2" fontId="27" fillId="7" borderId="6" xfId="0" applyNumberFormat="1" applyFont="1" applyFill="1" applyBorder="1" applyAlignment="1">
      <alignment horizontal="center" vertical="center"/>
    </xf>
    <xf numFmtId="0" fontId="27" fillId="7" borderId="31" xfId="0" applyFont="1" applyFill="1" applyBorder="1" applyAlignment="1">
      <alignment horizontal="center" vertical="center" wrapText="1"/>
    </xf>
    <xf numFmtId="0" fontId="27" fillId="7" borderId="31" xfId="0" applyFont="1" applyFill="1" applyBorder="1" applyAlignment="1">
      <alignment horizontal="center" vertical="center"/>
    </xf>
    <xf numFmtId="2" fontId="27" fillId="7" borderId="66" xfId="0" applyNumberFormat="1" applyFont="1" applyFill="1" applyBorder="1" applyAlignment="1">
      <alignment horizontal="center" vertical="center"/>
    </xf>
    <xf numFmtId="180" fontId="27" fillId="7" borderId="31" xfId="0" applyNumberFormat="1" applyFont="1" applyFill="1" applyBorder="1" applyAlignment="1">
      <alignment horizontal="center" vertical="center"/>
    </xf>
    <xf numFmtId="2" fontId="27" fillId="7" borderId="31" xfId="0" applyNumberFormat="1" applyFont="1" applyFill="1" applyBorder="1" applyAlignment="1">
      <alignment horizontal="center" vertical="center"/>
    </xf>
    <xf numFmtId="0" fontId="27" fillId="7" borderId="31" xfId="0" applyFont="1" applyFill="1" applyBorder="1" applyAlignment="1">
      <alignment vertical="center"/>
    </xf>
    <xf numFmtId="0" fontId="27" fillId="7" borderId="67" xfId="0" applyFont="1" applyFill="1" applyBorder="1" applyAlignment="1">
      <alignment horizontal="center" vertical="center"/>
    </xf>
    <xf numFmtId="0" fontId="27" fillId="8" borderId="38" xfId="0" applyFont="1" applyFill="1" applyBorder="1" applyAlignment="1">
      <alignment horizontal="center" vertical="center" wrapText="1"/>
    </xf>
    <xf numFmtId="0" fontId="27" fillId="8" borderId="38" xfId="0" applyFont="1" applyFill="1" applyBorder="1" applyAlignment="1">
      <alignment horizontal="center" vertical="center"/>
    </xf>
    <xf numFmtId="180" fontId="27" fillId="8" borderId="38" xfId="0" applyNumberFormat="1" applyFont="1" applyFill="1" applyBorder="1" applyAlignment="1">
      <alignment horizontal="center" vertical="center"/>
    </xf>
    <xf numFmtId="0" fontId="27" fillId="8" borderId="38" xfId="0" applyNumberFormat="1" applyFont="1" applyFill="1" applyBorder="1" applyAlignment="1">
      <alignment horizontal="center" vertical="center"/>
    </xf>
    <xf numFmtId="0" fontId="27" fillId="8" borderId="51" xfId="0" applyFont="1" applyFill="1" applyBorder="1" applyAlignment="1">
      <alignment horizontal="center" vertical="center"/>
    </xf>
    <xf numFmtId="0" fontId="27" fillId="8" borderId="31" xfId="0" applyFont="1" applyFill="1" applyBorder="1" applyAlignment="1">
      <alignment horizontal="center" vertical="center"/>
    </xf>
    <xf numFmtId="2" fontId="27" fillId="8" borderId="31" xfId="0" applyNumberFormat="1" applyFont="1" applyFill="1" applyBorder="1" applyAlignment="1">
      <alignment horizontal="center" vertical="center"/>
    </xf>
    <xf numFmtId="180" fontId="27" fillId="8" borderId="31" xfId="0" applyNumberFormat="1" applyFont="1" applyFill="1" applyBorder="1" applyAlignment="1">
      <alignment horizontal="center" vertical="center"/>
    </xf>
    <xf numFmtId="0" fontId="27" fillId="8" borderId="32" xfId="0" applyFont="1" applyFill="1" applyBorder="1" applyAlignment="1">
      <alignment horizontal="center" vertical="center"/>
    </xf>
    <xf numFmtId="44" fontId="10" fillId="10" borderId="6" xfId="15" applyFont="1" applyFill="1" applyBorder="1" applyAlignment="1" applyProtection="1">
      <alignment vertical="center"/>
      <protection locked="0"/>
    </xf>
    <xf numFmtId="177" fontId="31" fillId="0" borderId="34" xfId="0" applyNumberFormat="1" applyFont="1" applyBorder="1" applyAlignment="1">
      <alignment horizontal="left" vertical="center"/>
    </xf>
    <xf numFmtId="0" fontId="27" fillId="0" borderId="6" xfId="0" applyFont="1" applyBorder="1" applyAlignment="1">
      <alignment horizontal="center" vertical="center"/>
    </xf>
    <xf numFmtId="0" fontId="27" fillId="0" borderId="31" xfId="0" applyFont="1" applyBorder="1" applyAlignment="1">
      <alignment horizontal="center" vertical="center"/>
    </xf>
    <xf numFmtId="0" fontId="27" fillId="0" borderId="37" xfId="0" applyFont="1" applyBorder="1" applyAlignment="1">
      <alignment horizontal="center" vertical="center"/>
    </xf>
    <xf numFmtId="0" fontId="27" fillId="0" borderId="51" xfId="0" applyFont="1" applyBorder="1" applyAlignment="1">
      <alignment horizontal="center" vertical="center" wrapText="1"/>
    </xf>
    <xf numFmtId="0" fontId="27" fillId="0" borderId="38" xfId="0" applyFont="1" applyBorder="1" applyAlignment="1">
      <alignment horizontal="center" vertical="center" wrapText="1"/>
    </xf>
    <xf numFmtId="0" fontId="27" fillId="0" borderId="37" xfId="0" applyFont="1" applyBorder="1" applyAlignment="1">
      <alignment horizontal="center" vertical="center" wrapText="1"/>
    </xf>
    <xf numFmtId="0" fontId="27" fillId="10" borderId="37" xfId="0" applyFont="1" applyFill="1" applyBorder="1" applyAlignment="1">
      <alignment horizontal="center" vertical="center"/>
    </xf>
    <xf numFmtId="0" fontId="27" fillId="0" borderId="51" xfId="0" applyFont="1" applyBorder="1" applyAlignment="1">
      <alignment horizontal="center" vertical="center"/>
    </xf>
    <xf numFmtId="0" fontId="27" fillId="0" borderId="6" xfId="0" applyFont="1" applyBorder="1" applyAlignment="1">
      <alignment horizontal="center" vertical="center" wrapText="1"/>
    </xf>
    <xf numFmtId="0" fontId="27" fillId="0" borderId="27" xfId="0" applyFont="1" applyBorder="1" applyAlignment="1">
      <alignment horizontal="center" vertical="center"/>
    </xf>
    <xf numFmtId="0" fontId="30" fillId="0" borderId="6" xfId="0" applyFont="1" applyBorder="1" applyAlignment="1">
      <alignment horizontal="center" vertical="center" wrapText="1"/>
    </xf>
    <xf numFmtId="0" fontId="27" fillId="0" borderId="27" xfId="0" applyFont="1" applyBorder="1" applyAlignment="1">
      <alignment horizontal="center" vertical="center" wrapText="1"/>
    </xf>
    <xf numFmtId="0" fontId="27" fillId="2" borderId="9" xfId="3" applyFont="1" applyFill="1" applyBorder="1" applyAlignment="1">
      <alignment horizontal="center" vertical="center"/>
    </xf>
    <xf numFmtId="0" fontId="26" fillId="7" borderId="6" xfId="13" applyFont="1" applyFill="1" applyBorder="1" applyAlignment="1">
      <alignment horizontal="center"/>
    </xf>
    <xf numFmtId="0" fontId="52" fillId="4" borderId="29" xfId="3" applyFont="1" applyFill="1" applyBorder="1" applyAlignment="1">
      <alignment horizontal="right" vertical="center" indent="1"/>
    </xf>
    <xf numFmtId="0" fontId="26" fillId="4" borderId="6" xfId="3" applyFont="1" applyFill="1" applyBorder="1" applyAlignment="1">
      <alignment horizontal="center" vertical="center" wrapText="1"/>
    </xf>
    <xf numFmtId="49" fontId="30" fillId="7" borderId="14" xfId="0" applyNumberFormat="1" applyFont="1" applyFill="1" applyBorder="1" applyAlignment="1">
      <alignment horizontal="left" vertical="center"/>
    </xf>
    <xf numFmtId="49" fontId="30" fillId="7" borderId="10" xfId="0" applyNumberFormat="1" applyFont="1" applyFill="1" applyBorder="1" applyAlignment="1">
      <alignment horizontal="left" vertical="center"/>
    </xf>
    <xf numFmtId="49" fontId="30" fillId="7" borderId="10" xfId="0" applyNumberFormat="1" applyFont="1" applyFill="1" applyBorder="1" applyAlignment="1">
      <alignment vertical="center"/>
    </xf>
    <xf numFmtId="0" fontId="30" fillId="7" borderId="12" xfId="0" applyFont="1" applyFill="1" applyBorder="1" applyAlignment="1">
      <alignment vertical="center"/>
    </xf>
    <xf numFmtId="10" fontId="27" fillId="0" borderId="16" xfId="0" applyNumberFormat="1" applyFont="1" applyBorder="1"/>
    <xf numFmtId="10" fontId="27" fillId="0" borderId="11" xfId="0" applyNumberFormat="1" applyFont="1" applyBorder="1"/>
    <xf numFmtId="10" fontId="27" fillId="0" borderId="0" xfId="1" applyNumberFormat="1" applyFont="1" applyBorder="1"/>
    <xf numFmtId="10" fontId="27" fillId="0" borderId="11" xfId="1" applyNumberFormat="1" applyFont="1" applyBorder="1"/>
    <xf numFmtId="0" fontId="56" fillId="0" borderId="10" xfId="0" applyFont="1" applyBorder="1" applyAlignment="1">
      <alignment horizontal="center" vertical="center" wrapText="1"/>
    </xf>
    <xf numFmtId="0" fontId="56" fillId="0" borderId="0" xfId="0" applyFont="1" applyAlignment="1">
      <alignment horizontal="center" vertical="center" wrapText="1"/>
    </xf>
    <xf numFmtId="0" fontId="56" fillId="0" borderId="11" xfId="0" applyFont="1" applyBorder="1" applyAlignment="1">
      <alignment horizontal="center" vertical="center" wrapText="1"/>
    </xf>
    <xf numFmtId="0" fontId="56" fillId="0" borderId="10" xfId="0" applyFont="1" applyBorder="1" applyAlignment="1">
      <alignment vertical="center" wrapText="1"/>
    </xf>
    <xf numFmtId="0" fontId="56" fillId="0" borderId="0" xfId="0" applyFont="1" applyAlignment="1">
      <alignment horizontal="right" vertical="center" wrapText="1"/>
    </xf>
    <xf numFmtId="0" fontId="56" fillId="0" borderId="0" xfId="0" applyFont="1" applyAlignment="1">
      <alignment vertical="center" wrapText="1"/>
    </xf>
    <xf numFmtId="0" fontId="56" fillId="0" borderId="11" xfId="0" applyFont="1" applyBorder="1" applyAlignment="1">
      <alignment vertical="center" wrapText="1"/>
    </xf>
    <xf numFmtId="0" fontId="56" fillId="0" borderId="10" xfId="0" applyFont="1" applyBorder="1"/>
    <xf numFmtId="0" fontId="56" fillId="0" borderId="0" xfId="0" applyFont="1"/>
    <xf numFmtId="0" fontId="56" fillId="0" borderId="11" xfId="0" applyFont="1" applyBorder="1"/>
    <xf numFmtId="0" fontId="27" fillId="0" borderId="12" xfId="0" applyFont="1" applyBorder="1"/>
    <xf numFmtId="0" fontId="27" fillId="0" borderId="5" xfId="0" applyFont="1" applyBorder="1"/>
    <xf numFmtId="0" fontId="27" fillId="0" borderId="13" xfId="0" applyFont="1" applyBorder="1"/>
    <xf numFmtId="0" fontId="27" fillId="0" borderId="0" xfId="0" applyFont="1" applyAlignment="1">
      <alignment horizontal="center"/>
    </xf>
    <xf numFmtId="0" fontId="31" fillId="7" borderId="0" xfId="3" applyFont="1" applyFill="1" applyAlignment="1">
      <alignment vertical="center" wrapText="1"/>
    </xf>
    <xf numFmtId="0" fontId="31" fillId="0" borderId="0" xfId="3" applyFont="1" applyAlignment="1">
      <alignment horizontal="center" wrapText="1"/>
    </xf>
    <xf numFmtId="0" fontId="31" fillId="10" borderId="0" xfId="3" applyFont="1" applyFill="1" applyAlignment="1">
      <alignment vertical="center" wrapText="1"/>
    </xf>
    <xf numFmtId="0" fontId="58" fillId="0" borderId="0" xfId="2" applyFont="1" applyAlignment="1">
      <alignment horizontal="right"/>
    </xf>
    <xf numFmtId="0" fontId="30" fillId="8" borderId="35" xfId="0" applyFont="1" applyFill="1" applyBorder="1" applyAlignment="1">
      <alignment horizontal="center" vertical="center" wrapText="1"/>
    </xf>
    <xf numFmtId="0" fontId="30" fillId="8" borderId="36" xfId="0" applyFont="1" applyFill="1" applyBorder="1" applyAlignment="1">
      <alignment horizontal="center" vertical="center" wrapText="1"/>
    </xf>
    <xf numFmtId="1" fontId="30" fillId="8" borderId="36" xfId="0" applyNumberFormat="1" applyFont="1" applyFill="1" applyBorder="1" applyAlignment="1">
      <alignment horizontal="center" vertical="center" wrapText="1"/>
    </xf>
    <xf numFmtId="0" fontId="30" fillId="8" borderId="49" xfId="0" applyFont="1" applyFill="1" applyBorder="1" applyAlignment="1">
      <alignment horizontal="center" vertical="center" wrapText="1"/>
    </xf>
    <xf numFmtId="0" fontId="30" fillId="8" borderId="0" xfId="0" applyFont="1" applyFill="1" applyAlignment="1">
      <alignment horizontal="center" vertical="center" wrapText="1"/>
    </xf>
    <xf numFmtId="0" fontId="27" fillId="10" borderId="86" xfId="0" applyFont="1" applyFill="1" applyBorder="1" applyAlignment="1">
      <alignment horizontal="center" vertical="center"/>
    </xf>
    <xf numFmtId="0" fontId="27" fillId="10" borderId="87" xfId="0" applyFont="1" applyFill="1" applyBorder="1" applyAlignment="1">
      <alignment horizontal="center" vertical="center" wrapText="1"/>
    </xf>
    <xf numFmtId="2" fontId="27" fillId="10" borderId="87" xfId="0" applyNumberFormat="1" applyFont="1" applyFill="1" applyBorder="1" applyAlignment="1">
      <alignment horizontal="center" vertical="center" wrapText="1"/>
    </xf>
    <xf numFmtId="1" fontId="27" fillId="10" borderId="87" xfId="0" applyNumberFormat="1" applyFont="1" applyFill="1" applyBorder="1" applyAlignment="1">
      <alignment horizontal="center" vertical="center" wrapText="1"/>
    </xf>
    <xf numFmtId="2" fontId="27" fillId="10" borderId="87" xfId="0" applyNumberFormat="1" applyFont="1" applyFill="1" applyBorder="1" applyAlignment="1">
      <alignment horizontal="center" vertical="center"/>
    </xf>
    <xf numFmtId="0" fontId="27" fillId="10" borderId="81" xfId="0" applyFont="1" applyFill="1" applyBorder="1" applyAlignment="1">
      <alignment horizontal="center" vertical="center"/>
    </xf>
    <xf numFmtId="0" fontId="27" fillId="10" borderId="54" xfId="0" applyFont="1" applyFill="1" applyBorder="1" applyAlignment="1">
      <alignment horizontal="center" vertical="center" wrapText="1"/>
    </xf>
    <xf numFmtId="2" fontId="27" fillId="10" borderId="54" xfId="0" applyNumberFormat="1" applyFont="1" applyFill="1" applyBorder="1" applyAlignment="1">
      <alignment horizontal="center" vertical="center" wrapText="1"/>
    </xf>
    <xf numFmtId="1" fontId="27" fillId="10" borderId="54" xfId="0" applyNumberFormat="1" applyFont="1" applyFill="1" applyBorder="1" applyAlignment="1">
      <alignment horizontal="center" vertical="center" wrapText="1"/>
    </xf>
    <xf numFmtId="0" fontId="27" fillId="10" borderId="54" xfId="0" applyFont="1" applyFill="1" applyBorder="1" applyAlignment="1">
      <alignment horizontal="center" vertical="center"/>
    </xf>
    <xf numFmtId="0" fontId="27" fillId="10" borderId="83" xfId="0" applyFont="1" applyFill="1" applyBorder="1" applyAlignment="1">
      <alignment horizontal="center" vertical="center"/>
    </xf>
    <xf numFmtId="0" fontId="27" fillId="10" borderId="84" xfId="0" applyFont="1" applyFill="1" applyBorder="1" applyAlignment="1">
      <alignment horizontal="center" vertical="center" wrapText="1"/>
    </xf>
    <xf numFmtId="2" fontId="27" fillId="10" borderId="84" xfId="0" applyNumberFormat="1" applyFont="1" applyFill="1" applyBorder="1" applyAlignment="1">
      <alignment horizontal="center" vertical="center" wrapText="1"/>
    </xf>
    <xf numFmtId="1" fontId="27" fillId="10" borderId="84" xfId="0" applyNumberFormat="1" applyFont="1" applyFill="1" applyBorder="1" applyAlignment="1">
      <alignment horizontal="center" vertical="center" wrapText="1"/>
    </xf>
    <xf numFmtId="0" fontId="27" fillId="10" borderId="84" xfId="0" applyFont="1" applyFill="1" applyBorder="1" applyAlignment="1">
      <alignment horizontal="center" vertical="center"/>
    </xf>
    <xf numFmtId="0" fontId="27" fillId="0" borderId="89" xfId="0" applyFont="1" applyBorder="1" applyAlignment="1">
      <alignment horizontal="center" vertical="center"/>
    </xf>
    <xf numFmtId="0" fontId="27" fillId="4" borderId="90" xfId="0" applyFont="1" applyFill="1" applyBorder="1" applyAlignment="1">
      <alignment horizontal="center" vertical="center" wrapText="1"/>
    </xf>
    <xf numFmtId="0" fontId="27" fillId="0" borderId="90" xfId="0" applyFont="1" applyBorder="1" applyAlignment="1">
      <alignment horizontal="center" vertical="center" wrapText="1"/>
    </xf>
    <xf numFmtId="2" fontId="27" fillId="0" borderId="90" xfId="0" applyNumberFormat="1" applyFont="1" applyBorder="1" applyAlignment="1">
      <alignment horizontal="center" vertical="center" wrapText="1"/>
    </xf>
    <xf numFmtId="1" fontId="27" fillId="0" borderId="90" xfId="0" applyNumberFormat="1" applyFont="1" applyBorder="1" applyAlignment="1">
      <alignment horizontal="center" vertical="center" wrapText="1"/>
    </xf>
    <xf numFmtId="164" fontId="27" fillId="0" borderId="90" xfId="0" applyNumberFormat="1" applyFont="1" applyBorder="1" applyAlignment="1">
      <alignment horizontal="center" vertical="center"/>
    </xf>
    <xf numFmtId="2" fontId="27" fillId="0" borderId="90" xfId="0" applyNumberFormat="1" applyFont="1" applyBorder="1" applyAlignment="1">
      <alignment horizontal="center" vertical="center"/>
    </xf>
    <xf numFmtId="2" fontId="27" fillId="0" borderId="91" xfId="0" applyNumberFormat="1" applyFont="1" applyBorder="1" applyAlignment="1">
      <alignment horizontal="center" vertical="center"/>
    </xf>
    <xf numFmtId="2" fontId="27" fillId="10" borderId="84" xfId="0" applyNumberFormat="1" applyFont="1" applyFill="1" applyBorder="1" applyAlignment="1">
      <alignment horizontal="center" vertical="center"/>
    </xf>
    <xf numFmtId="0" fontId="27" fillId="4" borderId="86" xfId="0" applyFont="1" applyFill="1" applyBorder="1" applyAlignment="1">
      <alignment horizontal="center" vertical="center"/>
    </xf>
    <xf numFmtId="0" fontId="27" fillId="4" borderId="87" xfId="0" applyFont="1" applyFill="1" applyBorder="1" applyAlignment="1">
      <alignment horizontal="center" vertical="center" wrapText="1"/>
    </xf>
    <xf numFmtId="2" fontId="27" fillId="4" borderId="87" xfId="0" applyNumberFormat="1" applyFont="1" applyFill="1" applyBorder="1" applyAlignment="1">
      <alignment horizontal="center" vertical="center" wrapText="1"/>
    </xf>
    <xf numFmtId="1" fontId="27" fillId="4" borderId="87" xfId="0" applyNumberFormat="1" applyFont="1" applyFill="1" applyBorder="1" applyAlignment="1">
      <alignment horizontal="center" vertical="center" wrapText="1"/>
    </xf>
    <xf numFmtId="164" fontId="27" fillId="4" borderId="87" xfId="0" applyNumberFormat="1" applyFont="1" applyFill="1" applyBorder="1" applyAlignment="1">
      <alignment horizontal="center" vertical="center"/>
    </xf>
    <xf numFmtId="0" fontId="27" fillId="4" borderId="83" xfId="0" applyFont="1" applyFill="1" applyBorder="1" applyAlignment="1">
      <alignment horizontal="center" vertical="center"/>
    </xf>
    <xf numFmtId="0" fontId="27" fillId="4" borderId="84" xfId="0" applyFont="1" applyFill="1" applyBorder="1" applyAlignment="1">
      <alignment horizontal="center" vertical="center" wrapText="1"/>
    </xf>
    <xf numFmtId="2" fontId="27" fillId="4" borderId="84" xfId="0" applyNumberFormat="1" applyFont="1" applyFill="1" applyBorder="1" applyAlignment="1">
      <alignment horizontal="center" vertical="center" wrapText="1"/>
    </xf>
    <xf numFmtId="1" fontId="27" fillId="4" borderId="84" xfId="0" applyNumberFormat="1" applyFont="1" applyFill="1" applyBorder="1" applyAlignment="1">
      <alignment horizontal="center" vertical="center" wrapText="1"/>
    </xf>
    <xf numFmtId="2" fontId="27" fillId="4" borderId="84" xfId="0" applyNumberFormat="1" applyFont="1" applyFill="1" applyBorder="1" applyAlignment="1">
      <alignment horizontal="center" vertical="center"/>
    </xf>
    <xf numFmtId="0" fontId="27" fillId="10" borderId="89" xfId="0" applyFont="1" applyFill="1" applyBorder="1" applyAlignment="1">
      <alignment horizontal="center" vertical="center"/>
    </xf>
    <xf numFmtId="0" fontId="27" fillId="10" borderId="90" xfId="0" applyFont="1" applyFill="1" applyBorder="1" applyAlignment="1">
      <alignment horizontal="center" vertical="center" wrapText="1"/>
    </xf>
    <xf numFmtId="2" fontId="27" fillId="10" borderId="90" xfId="0" applyNumberFormat="1" applyFont="1" applyFill="1" applyBorder="1" applyAlignment="1">
      <alignment horizontal="center" vertical="center" wrapText="1"/>
    </xf>
    <xf numFmtId="1" fontId="27" fillId="10" borderId="90" xfId="0" applyNumberFormat="1" applyFont="1" applyFill="1" applyBorder="1" applyAlignment="1">
      <alignment horizontal="center" vertical="center" wrapText="1"/>
    </xf>
    <xf numFmtId="164" fontId="27" fillId="10" borderId="90" xfId="0" applyNumberFormat="1" applyFont="1" applyFill="1" applyBorder="1" applyAlignment="1">
      <alignment horizontal="center" vertical="center"/>
    </xf>
    <xf numFmtId="2" fontId="27" fillId="10" borderId="90" xfId="0" applyNumberFormat="1" applyFont="1" applyFill="1" applyBorder="1" applyAlignment="1">
      <alignment horizontal="center" vertical="center"/>
    </xf>
    <xf numFmtId="2" fontId="27" fillId="10" borderId="91" xfId="0" applyNumberFormat="1" applyFont="1" applyFill="1" applyBorder="1" applyAlignment="1">
      <alignment horizontal="center" vertical="center"/>
    </xf>
    <xf numFmtId="0" fontId="27" fillId="0" borderId="0" xfId="0" applyFont="1" applyAlignment="1">
      <alignment horizontal="center" vertical="center" wrapText="1"/>
    </xf>
    <xf numFmtId="2" fontId="27" fillId="0" borderId="0" xfId="0" applyNumberFormat="1" applyFont="1" applyAlignment="1">
      <alignment horizontal="center" vertical="center" wrapText="1"/>
    </xf>
    <xf numFmtId="1" fontId="30" fillId="7" borderId="74" xfId="0" applyNumberFormat="1" applyFont="1" applyFill="1" applyBorder="1" applyAlignment="1">
      <alignment horizontal="center" vertical="center"/>
    </xf>
    <xf numFmtId="1" fontId="30" fillId="0" borderId="2" xfId="0" applyNumberFormat="1" applyFont="1" applyBorder="1" applyAlignment="1">
      <alignment vertical="center" wrapText="1"/>
    </xf>
    <xf numFmtId="2" fontId="30" fillId="7" borderId="4" xfId="0" applyNumberFormat="1" applyFont="1" applyFill="1" applyBorder="1" applyAlignment="1">
      <alignment horizontal="center" vertical="center"/>
    </xf>
    <xf numFmtId="0" fontId="27" fillId="0" borderId="0" xfId="0" applyFont="1" applyFill="1" applyBorder="1"/>
    <xf numFmtId="10" fontId="27" fillId="0" borderId="0" xfId="0" applyNumberFormat="1" applyFont="1"/>
    <xf numFmtId="10" fontId="27" fillId="0" borderId="0" xfId="0" applyNumberFormat="1" applyFont="1" applyAlignment="1">
      <alignment horizontal="center" vertical="center" wrapText="1"/>
    </xf>
    <xf numFmtId="1" fontId="27" fillId="0" borderId="0" xfId="0" applyNumberFormat="1" applyFont="1" applyAlignment="1">
      <alignment horizontal="center" vertical="center" wrapText="1"/>
    </xf>
    <xf numFmtId="179" fontId="27" fillId="0" borderId="0" xfId="0" applyNumberFormat="1" applyFont="1" applyAlignment="1">
      <alignment horizontal="left"/>
    </xf>
    <xf numFmtId="0" fontId="32" fillId="7" borderId="36" xfId="3" applyFont="1" applyFill="1" applyBorder="1" applyAlignment="1">
      <alignment horizontal="center" vertical="center" wrapText="1"/>
    </xf>
    <xf numFmtId="44" fontId="27" fillId="0" borderId="0" xfId="0" applyNumberFormat="1" applyFont="1" applyAlignment="1">
      <alignment horizontal="center" vertical="center"/>
    </xf>
    <xf numFmtId="10" fontId="27" fillId="0" borderId="0" xfId="0" applyNumberFormat="1" applyFont="1" applyAlignment="1">
      <alignment horizontal="center" vertical="center"/>
    </xf>
    <xf numFmtId="44" fontId="27" fillId="10" borderId="6" xfId="0" applyNumberFormat="1" applyFont="1" applyFill="1" applyBorder="1" applyAlignment="1">
      <alignment vertical="center" wrapText="1"/>
    </xf>
    <xf numFmtId="2" fontId="27" fillId="10" borderId="6" xfId="0" applyNumberFormat="1" applyFont="1" applyFill="1" applyBorder="1" applyAlignment="1">
      <alignment horizontal="center" vertical="center" wrapText="1"/>
    </xf>
    <xf numFmtId="0" fontId="27" fillId="0" borderId="27" xfId="0" applyFont="1" applyBorder="1" applyAlignment="1">
      <alignment vertical="center" wrapText="1"/>
    </xf>
    <xf numFmtId="2" fontId="27" fillId="0" borderId="0" xfId="0" applyNumberFormat="1" applyFont="1" applyAlignment="1">
      <alignment horizontal="center" vertical="center"/>
    </xf>
    <xf numFmtId="0" fontId="27" fillId="0" borderId="65" xfId="0" applyFont="1" applyBorder="1" applyAlignment="1">
      <alignment vertical="center" wrapText="1"/>
    </xf>
    <xf numFmtId="0" fontId="27" fillId="0" borderId="64" xfId="0" applyFont="1" applyBorder="1" applyAlignment="1">
      <alignment horizontal="center" vertical="center"/>
    </xf>
    <xf numFmtId="0" fontId="27" fillId="0" borderId="0" xfId="0" applyFont="1" applyFill="1" applyBorder="1" applyAlignment="1">
      <alignment horizontal="center" vertical="center"/>
    </xf>
    <xf numFmtId="0" fontId="30" fillId="10" borderId="5" xfId="0" applyFont="1" applyFill="1" applyBorder="1"/>
    <xf numFmtId="0" fontId="30" fillId="10" borderId="13" xfId="0" applyFont="1" applyFill="1" applyBorder="1"/>
    <xf numFmtId="10" fontId="30" fillId="10" borderId="9" xfId="1" applyNumberFormat="1" applyFont="1" applyFill="1" applyBorder="1"/>
    <xf numFmtId="10" fontId="30" fillId="10" borderId="8" xfId="1" applyNumberFormat="1" applyFont="1" applyFill="1" applyBorder="1"/>
    <xf numFmtId="0" fontId="23" fillId="0" borderId="0" xfId="37" applyAlignment="1">
      <alignment horizontal="center" vertical="center"/>
    </xf>
    <xf numFmtId="0" fontId="30" fillId="0" borderId="100" xfId="0" applyFont="1" applyBorder="1" applyAlignment="1">
      <alignment horizontal="center" vertical="center"/>
    </xf>
    <xf numFmtId="165" fontId="30" fillId="4" borderId="100" xfId="0" applyNumberFormat="1" applyFont="1" applyFill="1" applyBorder="1" applyAlignment="1">
      <alignment horizontal="center" vertical="center"/>
    </xf>
    <xf numFmtId="0" fontId="2" fillId="0" borderId="100" xfId="0" applyFont="1" applyBorder="1" applyAlignment="1">
      <alignment horizontal="center" vertical="center"/>
    </xf>
    <xf numFmtId="165" fontId="2" fillId="4" borderId="100" xfId="0" applyNumberFormat="1" applyFont="1" applyFill="1" applyBorder="1" applyAlignment="1">
      <alignment horizontal="center" vertical="center"/>
    </xf>
    <xf numFmtId="0" fontId="0" fillId="0" borderId="100" xfId="0" applyBorder="1"/>
    <xf numFmtId="0" fontId="2" fillId="0" borderId="100" xfId="0" applyFont="1" applyFill="1" applyBorder="1" applyAlignment="1">
      <alignment horizontal="center" vertical="center"/>
    </xf>
    <xf numFmtId="165" fontId="2" fillId="0" borderId="100" xfId="0" applyNumberFormat="1" applyFont="1" applyFill="1" applyBorder="1" applyAlignment="1">
      <alignment horizontal="center" vertical="center"/>
    </xf>
    <xf numFmtId="0" fontId="0" fillId="0" borderId="101" xfId="0" applyBorder="1"/>
    <xf numFmtId="0" fontId="27" fillId="0" borderId="102" xfId="0" applyFont="1" applyBorder="1" applyAlignment="1">
      <alignment horizontal="center" vertical="center"/>
    </xf>
    <xf numFmtId="0" fontId="30" fillId="0" borderId="103" xfId="0" applyFont="1" applyBorder="1" applyAlignment="1">
      <alignment horizontal="center" vertical="center"/>
    </xf>
    <xf numFmtId="0" fontId="0" fillId="0" borderId="103" xfId="0" applyBorder="1"/>
    <xf numFmtId="0" fontId="30" fillId="0" borderId="104" xfId="0" applyFont="1" applyBorder="1" applyAlignment="1">
      <alignment horizontal="center" vertical="center"/>
    </xf>
    <xf numFmtId="0" fontId="27" fillId="0" borderId="105" xfId="0" applyFont="1" applyBorder="1" applyAlignment="1">
      <alignment horizontal="center" vertical="center"/>
    </xf>
    <xf numFmtId="0" fontId="30" fillId="0" borderId="106" xfId="0" applyFont="1" applyBorder="1" applyAlignment="1">
      <alignment horizontal="center" vertical="center"/>
    </xf>
    <xf numFmtId="0" fontId="0" fillId="0" borderId="105" xfId="0" applyBorder="1" applyAlignment="1">
      <alignment horizontal="center" vertical="center"/>
    </xf>
    <xf numFmtId="0" fontId="2" fillId="0" borderId="106" xfId="0" applyFont="1" applyBorder="1" applyAlignment="1">
      <alignment horizontal="center" vertical="center"/>
    </xf>
    <xf numFmtId="0" fontId="0" fillId="0" borderId="105" xfId="0" applyBorder="1"/>
    <xf numFmtId="0" fontId="0" fillId="0" borderId="106" xfId="0" applyBorder="1"/>
    <xf numFmtId="0" fontId="0" fillId="0" borderId="107" xfId="0" applyBorder="1"/>
    <xf numFmtId="0" fontId="0" fillId="0" borderId="108" xfId="0" applyBorder="1"/>
    <xf numFmtId="0" fontId="0" fillId="0" borderId="109" xfId="0" applyBorder="1"/>
    <xf numFmtId="0" fontId="0" fillId="0" borderId="102" xfId="0" applyBorder="1"/>
    <xf numFmtId="0" fontId="0" fillId="0" borderId="105" xfId="0" applyFill="1" applyBorder="1" applyAlignment="1">
      <alignment horizontal="center" vertical="center"/>
    </xf>
    <xf numFmtId="0" fontId="2" fillId="0" borderId="106" xfId="0" applyFont="1" applyFill="1" applyBorder="1" applyAlignment="1">
      <alignment horizontal="center" vertical="center"/>
    </xf>
    <xf numFmtId="0" fontId="0" fillId="0" borderId="110" xfId="0" applyBorder="1"/>
    <xf numFmtId="0" fontId="0" fillId="0" borderId="111" xfId="0" applyBorder="1"/>
    <xf numFmtId="0" fontId="19" fillId="0" borderId="6" xfId="0" applyFont="1" applyBorder="1" applyAlignment="1">
      <alignment horizontal="center" vertical="center"/>
    </xf>
    <xf numFmtId="165" fontId="0" fillId="0" borderId="50" xfId="0" applyNumberFormat="1" applyBorder="1" applyAlignment="1">
      <alignment horizontal="center" vertical="center"/>
    </xf>
    <xf numFmtId="165" fontId="0" fillId="0" borderId="38" xfId="0" applyNumberFormat="1" applyBorder="1" applyAlignment="1">
      <alignment horizontal="center" vertical="center"/>
    </xf>
    <xf numFmtId="165" fontId="0" fillId="0" borderId="51" xfId="0" applyNumberFormat="1" applyBorder="1" applyAlignment="1">
      <alignment horizontal="center" vertical="center"/>
    </xf>
    <xf numFmtId="0" fontId="0" fillId="0" borderId="113" xfId="0" applyBorder="1"/>
    <xf numFmtId="0" fontId="0" fillId="0" borderId="114" xfId="0" applyBorder="1"/>
    <xf numFmtId="0" fontId="0" fillId="0" borderId="115" xfId="0" applyBorder="1"/>
    <xf numFmtId="0" fontId="0" fillId="0" borderId="117" xfId="0" applyBorder="1"/>
    <xf numFmtId="0" fontId="0" fillId="0" borderId="118" xfId="0" applyBorder="1"/>
    <xf numFmtId="0" fontId="0" fillId="0" borderId="119" xfId="0" applyBorder="1"/>
    <xf numFmtId="0" fontId="0" fillId="0" borderId="120" xfId="0" applyBorder="1"/>
    <xf numFmtId="0" fontId="2" fillId="0" borderId="112" xfId="0" applyFont="1" applyFill="1" applyBorder="1" applyAlignment="1">
      <alignment horizontal="center" vertical="center"/>
    </xf>
    <xf numFmtId="0" fontId="2" fillId="0" borderId="119" xfId="0" applyFont="1" applyFill="1" applyBorder="1" applyAlignment="1">
      <alignment horizontal="center" vertical="center"/>
    </xf>
    <xf numFmtId="165" fontId="2" fillId="0" borderId="119" xfId="0" applyNumberFormat="1" applyFont="1" applyFill="1" applyBorder="1" applyAlignment="1">
      <alignment horizontal="center" vertical="center"/>
    </xf>
    <xf numFmtId="0" fontId="0" fillId="0" borderId="118" xfId="0" applyFill="1" applyBorder="1" applyAlignment="1">
      <alignment horizontal="center" vertical="center"/>
    </xf>
    <xf numFmtId="0" fontId="2" fillId="0" borderId="120" xfId="0" applyFont="1" applyFill="1" applyBorder="1" applyAlignment="1">
      <alignment horizontal="center" vertical="center"/>
    </xf>
    <xf numFmtId="0" fontId="0" fillId="0" borderId="116" xfId="0" applyBorder="1"/>
    <xf numFmtId="0" fontId="0" fillId="0" borderId="124" xfId="0" applyBorder="1"/>
    <xf numFmtId="0" fontId="0" fillId="0" borderId="125" xfId="0" applyBorder="1"/>
    <xf numFmtId="0" fontId="29" fillId="4" borderId="0" xfId="0" applyFont="1" applyFill="1" applyBorder="1" applyAlignment="1">
      <alignment horizontal="center" vertical="center"/>
    </xf>
    <xf numFmtId="165" fontId="29" fillId="4" borderId="0" xfId="0" applyNumberFormat="1" applyFont="1" applyFill="1" applyBorder="1" applyAlignment="1">
      <alignment horizontal="center" vertical="center"/>
    </xf>
    <xf numFmtId="0" fontId="27" fillId="4" borderId="0" xfId="0" applyFont="1" applyFill="1" applyAlignment="1">
      <alignment horizontal="center" vertical="center"/>
    </xf>
    <xf numFmtId="0" fontId="30" fillId="4" borderId="0" xfId="0" applyFont="1" applyFill="1" applyAlignment="1">
      <alignment horizontal="center" vertical="center"/>
    </xf>
    <xf numFmtId="0" fontId="27" fillId="0" borderId="103" xfId="0" applyFont="1" applyBorder="1"/>
    <xf numFmtId="0" fontId="60" fillId="0" borderId="0" xfId="37" applyFont="1" applyAlignment="1">
      <alignment horizontal="center" vertical="center"/>
    </xf>
    <xf numFmtId="0" fontId="27" fillId="0" borderId="105" xfId="0" applyFont="1" applyBorder="1"/>
    <xf numFmtId="0" fontId="27" fillId="0" borderId="100" xfId="0" applyFont="1" applyBorder="1"/>
    <xf numFmtId="0" fontId="27" fillId="0" borderId="106" xfId="0" applyFont="1" applyBorder="1"/>
    <xf numFmtId="0" fontId="27" fillId="0" borderId="107" xfId="0" applyFont="1" applyBorder="1"/>
    <xf numFmtId="0" fontId="27" fillId="0" borderId="108" xfId="0" applyFont="1" applyBorder="1"/>
    <xf numFmtId="0" fontId="27" fillId="0" borderId="109" xfId="0" applyFont="1" applyBorder="1"/>
    <xf numFmtId="0" fontId="27" fillId="0" borderId="118" xfId="0" applyFont="1" applyBorder="1"/>
    <xf numFmtId="0" fontId="27" fillId="0" borderId="119" xfId="0" applyFont="1" applyBorder="1"/>
    <xf numFmtId="0" fontId="27" fillId="0" borderId="120" xfId="0" applyFont="1" applyBorder="1"/>
    <xf numFmtId="0" fontId="27" fillId="0" borderId="105" xfId="0" applyFont="1" applyFill="1" applyBorder="1" applyAlignment="1">
      <alignment horizontal="center" vertical="center"/>
    </xf>
    <xf numFmtId="0" fontId="30" fillId="0" borderId="100" xfId="0" applyFont="1" applyFill="1" applyBorder="1" applyAlignment="1">
      <alignment horizontal="center" vertical="center"/>
    </xf>
    <xf numFmtId="165" fontId="30" fillId="0" borderId="100" xfId="0" applyNumberFormat="1" applyFont="1" applyFill="1" applyBorder="1" applyAlignment="1">
      <alignment horizontal="center" vertical="center"/>
    </xf>
    <xf numFmtId="0" fontId="30" fillId="0" borderId="106" xfId="0" applyFont="1" applyFill="1" applyBorder="1" applyAlignment="1">
      <alignment horizontal="center" vertical="center"/>
    </xf>
    <xf numFmtId="0" fontId="30" fillId="0" borderId="112" xfId="0" applyFont="1" applyFill="1" applyBorder="1" applyAlignment="1">
      <alignment horizontal="center" vertical="center"/>
    </xf>
    <xf numFmtId="0" fontId="27" fillId="0" borderId="118" xfId="0" applyFont="1" applyFill="1" applyBorder="1" applyAlignment="1">
      <alignment horizontal="center" vertical="center"/>
    </xf>
    <xf numFmtId="0" fontId="30" fillId="0" borderId="119" xfId="0" applyFont="1" applyFill="1" applyBorder="1" applyAlignment="1">
      <alignment horizontal="center" vertical="center"/>
    </xf>
    <xf numFmtId="165" fontId="30" fillId="0" borderId="119" xfId="0" applyNumberFormat="1" applyFont="1" applyFill="1" applyBorder="1" applyAlignment="1">
      <alignment horizontal="center" vertical="center"/>
    </xf>
    <xf numFmtId="0" fontId="30" fillId="0" borderId="120" xfId="0" applyFont="1" applyFill="1" applyBorder="1" applyAlignment="1">
      <alignment horizontal="center" vertical="center"/>
    </xf>
    <xf numFmtId="0" fontId="27" fillId="0" borderId="116" xfId="0" applyFont="1" applyBorder="1"/>
    <xf numFmtId="0" fontId="27" fillId="0" borderId="113" xfId="0" applyFont="1" applyBorder="1"/>
    <xf numFmtId="0" fontId="27" fillId="0" borderId="101" xfId="0" applyFont="1" applyBorder="1"/>
    <xf numFmtId="0" fontId="27" fillId="0" borderId="117" xfId="0" applyFont="1" applyBorder="1"/>
    <xf numFmtId="0" fontId="27" fillId="0" borderId="124" xfId="0" applyFont="1" applyBorder="1"/>
    <xf numFmtId="0" fontId="27" fillId="0" borderId="110" xfId="0" applyFont="1" applyBorder="1"/>
    <xf numFmtId="0" fontId="27" fillId="0" borderId="114" xfId="0" applyFont="1" applyBorder="1"/>
    <xf numFmtId="0" fontId="27" fillId="0" borderId="115" xfId="0" applyFont="1" applyBorder="1"/>
    <xf numFmtId="165" fontId="27" fillId="0" borderId="50" xfId="0" applyNumberFormat="1" applyFont="1" applyBorder="1" applyAlignment="1">
      <alignment horizontal="center" vertical="center"/>
    </xf>
    <xf numFmtId="165" fontId="27" fillId="0" borderId="38" xfId="0" applyNumberFormat="1" applyFont="1" applyBorder="1" applyAlignment="1">
      <alignment horizontal="center" vertical="center"/>
    </xf>
    <xf numFmtId="165" fontId="27" fillId="0" borderId="51" xfId="0" applyNumberFormat="1" applyFont="1" applyBorder="1" applyAlignment="1">
      <alignment horizontal="center" vertical="center"/>
    </xf>
    <xf numFmtId="0" fontId="27" fillId="0" borderId="125" xfId="0" applyFont="1" applyBorder="1"/>
    <xf numFmtId="0" fontId="23" fillId="0" borderId="103" xfId="37" applyBorder="1" applyAlignment="1">
      <alignment vertical="center"/>
    </xf>
    <xf numFmtId="0" fontId="30" fillId="0" borderId="103" xfId="0" applyFont="1" applyBorder="1" applyAlignment="1">
      <alignment vertical="center"/>
    </xf>
    <xf numFmtId="0" fontId="30" fillId="0" borderId="104" xfId="0" applyFont="1" applyBorder="1" applyAlignment="1">
      <alignment vertical="center"/>
    </xf>
    <xf numFmtId="0" fontId="0" fillId="0" borderId="100" xfId="0" applyBorder="1" applyAlignment="1">
      <alignment wrapText="1"/>
    </xf>
    <xf numFmtId="0" fontId="0" fillId="0" borderId="132" xfId="0" applyBorder="1"/>
    <xf numFmtId="0" fontId="0" fillId="0" borderId="134" xfId="0" applyBorder="1"/>
    <xf numFmtId="0" fontId="0" fillId="0" borderId="135" xfId="0" applyBorder="1"/>
    <xf numFmtId="0" fontId="0" fillId="0" borderId="136" xfId="0" applyBorder="1"/>
    <xf numFmtId="0" fontId="0" fillId="0" borderId="137" xfId="0" applyBorder="1"/>
    <xf numFmtId="0" fontId="23" fillId="0" borderId="106" xfId="37" applyBorder="1" applyAlignment="1">
      <alignment wrapText="1"/>
    </xf>
    <xf numFmtId="0" fontId="0" fillId="0" borderId="106" xfId="0" applyBorder="1" applyAlignment="1">
      <alignment wrapText="1"/>
    </xf>
    <xf numFmtId="0" fontId="0" fillId="0" borderId="120" xfId="0" applyBorder="1" applyAlignment="1">
      <alignment wrapText="1"/>
    </xf>
    <xf numFmtId="0" fontId="0" fillId="0" borderId="64" xfId="3" applyFont="1" applyBorder="1" applyAlignment="1">
      <alignment horizontal="center" vertical="center"/>
    </xf>
    <xf numFmtId="0" fontId="0" fillId="0" borderId="37" xfId="3" applyFont="1" applyBorder="1" applyAlignment="1">
      <alignment horizontal="center" vertical="center" wrapText="1"/>
    </xf>
    <xf numFmtId="0" fontId="0" fillId="0" borderId="65" xfId="3" applyFont="1" applyBorder="1" applyAlignment="1">
      <alignment horizontal="center" vertical="center"/>
    </xf>
    <xf numFmtId="165" fontId="1" fillId="0" borderId="50" xfId="3" applyNumberFormat="1" applyBorder="1" applyAlignment="1">
      <alignment horizontal="center" vertical="center"/>
    </xf>
    <xf numFmtId="165" fontId="1" fillId="0" borderId="38" xfId="3" applyNumberFormat="1" applyBorder="1" applyAlignment="1">
      <alignment horizontal="center" vertical="center"/>
    </xf>
    <xf numFmtId="165" fontId="1" fillId="0" borderId="51" xfId="3" applyNumberFormat="1" applyBorder="1" applyAlignment="1">
      <alignment horizontal="center" vertical="center"/>
    </xf>
    <xf numFmtId="0" fontId="47" fillId="4" borderId="0" xfId="0" applyFont="1" applyFill="1"/>
    <xf numFmtId="0" fontId="1" fillId="4" borderId="0" xfId="0" applyFont="1" applyFill="1"/>
    <xf numFmtId="0" fontId="1" fillId="4" borderId="0" xfId="0" applyFont="1" applyFill="1" applyAlignment="1">
      <alignment vertical="center"/>
    </xf>
    <xf numFmtId="0" fontId="1" fillId="4" borderId="0" xfId="0" applyFont="1" applyFill="1" applyBorder="1"/>
    <xf numFmtId="0" fontId="47" fillId="7" borderId="0" xfId="0" applyFont="1" applyFill="1" applyBorder="1" applyAlignment="1">
      <alignment horizontal="center" vertical="center" wrapText="1"/>
    </xf>
    <xf numFmtId="0" fontId="47" fillId="7" borderId="3" xfId="0" applyFont="1" applyFill="1" applyBorder="1" applyAlignment="1">
      <alignment horizontal="center" vertical="center" wrapText="1"/>
    </xf>
    <xf numFmtId="0" fontId="1" fillId="7" borderId="0" xfId="0" applyFont="1" applyFill="1"/>
    <xf numFmtId="0" fontId="47" fillId="7" borderId="17" xfId="0" applyFont="1" applyFill="1" applyBorder="1" applyAlignment="1">
      <alignment horizontal="center" vertical="center" wrapText="1"/>
    </xf>
    <xf numFmtId="0" fontId="47" fillId="7" borderId="18" xfId="0" applyFont="1" applyFill="1" applyBorder="1" applyAlignment="1">
      <alignment horizontal="center" vertical="center" wrapText="1"/>
    </xf>
    <xf numFmtId="0" fontId="47" fillId="7" borderId="19" xfId="0" applyFont="1" applyFill="1" applyBorder="1" applyAlignment="1">
      <alignment horizontal="center" vertical="center" wrapText="1"/>
    </xf>
    <xf numFmtId="0" fontId="47" fillId="7" borderId="42" xfId="0" applyFont="1" applyFill="1" applyBorder="1" applyAlignment="1">
      <alignment horizontal="center" vertical="center" wrapText="1"/>
    </xf>
    <xf numFmtId="0" fontId="47" fillId="7" borderId="39" xfId="0" applyFont="1" applyFill="1" applyBorder="1" applyAlignment="1">
      <alignment horizontal="center" vertical="center" wrapText="1"/>
    </xf>
    <xf numFmtId="0" fontId="47" fillId="7" borderId="0" xfId="0" applyFont="1" applyFill="1" applyBorder="1" applyAlignment="1">
      <alignment horizontal="left" vertical="center"/>
    </xf>
    <xf numFmtId="0" fontId="47" fillId="7" borderId="39" xfId="0" applyFont="1" applyFill="1" applyBorder="1" applyAlignment="1">
      <alignment horizontal="left" vertical="center" wrapText="1"/>
    </xf>
    <xf numFmtId="0" fontId="1" fillId="7" borderId="39" xfId="0" applyFont="1" applyFill="1" applyBorder="1"/>
    <xf numFmtId="0" fontId="47" fillId="7" borderId="42" xfId="0" applyFont="1" applyFill="1" applyBorder="1"/>
    <xf numFmtId="0" fontId="47" fillId="7" borderId="21" xfId="0" applyFont="1" applyFill="1" applyBorder="1"/>
    <xf numFmtId="0" fontId="1" fillId="7" borderId="22" xfId="0" applyFont="1" applyFill="1" applyBorder="1"/>
    <xf numFmtId="0" fontId="47" fillId="7" borderId="22" xfId="0" applyFont="1" applyFill="1" applyBorder="1" applyAlignment="1">
      <alignment horizontal="center" vertical="center" wrapText="1"/>
    </xf>
    <xf numFmtId="0" fontId="47" fillId="7" borderId="6" xfId="0" applyFont="1" applyFill="1" applyBorder="1" applyAlignment="1">
      <alignment horizontal="left"/>
    </xf>
    <xf numFmtId="0" fontId="47" fillId="7" borderId="6" xfId="0" applyFont="1" applyFill="1" applyBorder="1"/>
    <xf numFmtId="165" fontId="47" fillId="7" borderId="6" xfId="0" applyNumberFormat="1" applyFont="1" applyFill="1" applyBorder="1"/>
    <xf numFmtId="0" fontId="47" fillId="7" borderId="6" xfId="0" applyFont="1" applyFill="1" applyBorder="1" applyAlignment="1">
      <alignment horizontal="right"/>
    </xf>
    <xf numFmtId="0" fontId="25" fillId="7" borderId="6" xfId="0" applyFont="1" applyFill="1" applyBorder="1"/>
    <xf numFmtId="0" fontId="47" fillId="7" borderId="38" xfId="0" applyFont="1" applyFill="1" applyBorder="1"/>
    <xf numFmtId="165" fontId="25" fillId="7" borderId="22" xfId="0" applyNumberFormat="1" applyFont="1" applyFill="1" applyBorder="1" applyAlignment="1">
      <alignment horizontal="center" vertical="center"/>
    </xf>
    <xf numFmtId="165" fontId="47" fillId="7" borderId="6" xfId="0" applyNumberFormat="1" applyFont="1" applyFill="1" applyBorder="1" applyAlignment="1">
      <alignment horizontal="center" vertical="center"/>
    </xf>
    <xf numFmtId="0" fontId="47" fillId="7" borderId="6" xfId="0" applyFont="1" applyFill="1" applyBorder="1" applyAlignment="1"/>
    <xf numFmtId="165" fontId="47" fillId="7" borderId="38" xfId="0" applyNumberFormat="1" applyFont="1" applyFill="1" applyBorder="1" applyAlignment="1">
      <alignment horizontal="center" vertical="center"/>
    </xf>
    <xf numFmtId="0" fontId="47" fillId="7" borderId="35" xfId="0" applyFont="1" applyFill="1" applyBorder="1"/>
    <xf numFmtId="0" fontId="47" fillId="7" borderId="36" xfId="0" applyFont="1" applyFill="1" applyBorder="1"/>
    <xf numFmtId="165" fontId="25" fillId="7" borderId="49" xfId="0" applyNumberFormat="1" applyFont="1" applyFill="1" applyBorder="1" applyAlignment="1">
      <alignment horizontal="center" vertical="center"/>
    </xf>
    <xf numFmtId="0" fontId="47" fillId="7" borderId="26" xfId="0" applyFont="1" applyFill="1" applyBorder="1" applyAlignment="1">
      <alignment horizontal="left"/>
    </xf>
    <xf numFmtId="0" fontId="47" fillId="7" borderId="26" xfId="0" applyFont="1" applyFill="1" applyBorder="1"/>
    <xf numFmtId="0" fontId="47" fillId="7" borderId="50" xfId="0" applyFont="1" applyFill="1" applyBorder="1"/>
    <xf numFmtId="0" fontId="1" fillId="7" borderId="18" xfId="0" applyFont="1" applyFill="1" applyBorder="1" applyAlignment="1">
      <alignment vertical="center" wrapText="1"/>
    </xf>
    <xf numFmtId="0" fontId="1" fillId="7" borderId="0" xfId="0" applyFont="1" applyFill="1" applyBorder="1" applyAlignment="1">
      <alignment vertical="center" wrapText="1"/>
    </xf>
    <xf numFmtId="0" fontId="1" fillId="7" borderId="17" xfId="0" applyFont="1" applyFill="1" applyBorder="1" applyAlignment="1">
      <alignment vertical="center" wrapText="1"/>
    </xf>
    <xf numFmtId="0" fontId="1" fillId="7" borderId="19" xfId="0" applyFont="1" applyFill="1" applyBorder="1" applyAlignment="1">
      <alignment vertical="center" wrapText="1"/>
    </xf>
    <xf numFmtId="0" fontId="1" fillId="7" borderId="42" xfId="0" applyFont="1" applyFill="1" applyBorder="1" applyAlignment="1">
      <alignment vertical="center" wrapText="1"/>
    </xf>
    <xf numFmtId="0" fontId="1" fillId="7" borderId="39" xfId="0" applyFont="1" applyFill="1" applyBorder="1" applyAlignment="1">
      <alignment vertical="center" wrapText="1"/>
    </xf>
    <xf numFmtId="0" fontId="1" fillId="7" borderId="42" xfId="0" applyFont="1" applyFill="1" applyBorder="1"/>
    <xf numFmtId="0" fontId="1" fillId="7" borderId="0" xfId="0" applyFont="1" applyFill="1" applyBorder="1"/>
    <xf numFmtId="0" fontId="1" fillId="7" borderId="21" xfId="0" applyFont="1" applyFill="1" applyBorder="1"/>
    <xf numFmtId="0" fontId="1" fillId="7" borderId="20" xfId="0" applyFont="1" applyFill="1" applyBorder="1"/>
    <xf numFmtId="0" fontId="1" fillId="7" borderId="17" xfId="0" applyFont="1" applyFill="1" applyBorder="1"/>
    <xf numFmtId="0" fontId="1" fillId="7" borderId="18" xfId="0" applyFont="1" applyFill="1" applyBorder="1"/>
    <xf numFmtId="0" fontId="1" fillId="7" borderId="19" xfId="0" applyFont="1" applyFill="1" applyBorder="1"/>
    <xf numFmtId="0" fontId="1" fillId="7" borderId="39" xfId="0" applyFont="1" applyFill="1" applyBorder="1" applyAlignment="1">
      <alignment vertical="center"/>
    </xf>
    <xf numFmtId="0" fontId="1" fillId="7" borderId="0" xfId="0" applyFont="1" applyFill="1" applyBorder="1" applyAlignment="1">
      <alignment vertical="center"/>
    </xf>
    <xf numFmtId="0" fontId="0" fillId="7" borderId="26" xfId="3" applyFont="1" applyFill="1" applyBorder="1" applyAlignment="1">
      <alignment horizontal="center" vertical="center"/>
    </xf>
    <xf numFmtId="0" fontId="0" fillId="7" borderId="6" xfId="3" applyFont="1" applyFill="1" applyBorder="1" applyAlignment="1">
      <alignment horizontal="center" vertical="center" wrapText="1"/>
    </xf>
    <xf numFmtId="0" fontId="0" fillId="7" borderId="27" xfId="3" applyFont="1" applyFill="1" applyBorder="1" applyAlignment="1">
      <alignment horizontal="center" vertical="center"/>
    </xf>
    <xf numFmtId="165" fontId="1" fillId="7" borderId="26" xfId="3" applyNumberFormat="1" applyFill="1" applyBorder="1" applyAlignment="1">
      <alignment horizontal="center" vertical="center"/>
    </xf>
    <xf numFmtId="165" fontId="1" fillId="7" borderId="6" xfId="3" applyNumberFormat="1" applyFill="1" applyBorder="1" applyAlignment="1">
      <alignment horizontal="center" vertical="center"/>
    </xf>
    <xf numFmtId="165" fontId="1" fillId="7" borderId="27" xfId="3" applyNumberFormat="1" applyFill="1" applyBorder="1" applyAlignment="1">
      <alignment horizontal="center" vertical="center"/>
    </xf>
    <xf numFmtId="0" fontId="19" fillId="7" borderId="0" xfId="0" applyFont="1" applyFill="1" applyBorder="1" applyAlignment="1">
      <alignment vertical="center" wrapText="1"/>
    </xf>
    <xf numFmtId="165" fontId="19" fillId="7" borderId="0" xfId="0" applyNumberFormat="1" applyFont="1" applyFill="1" applyBorder="1" applyAlignment="1">
      <alignment vertical="center"/>
    </xf>
    <xf numFmtId="0" fontId="19" fillId="7" borderId="0" xfId="0" applyFont="1" applyFill="1" applyBorder="1" applyAlignment="1">
      <alignment vertical="center"/>
    </xf>
    <xf numFmtId="0" fontId="0" fillId="7" borderId="64" xfId="3" applyFont="1" applyFill="1" applyBorder="1" applyAlignment="1">
      <alignment horizontal="center" vertical="center"/>
    </xf>
    <xf numFmtId="0" fontId="0" fillId="7" borderId="37" xfId="3" applyFont="1" applyFill="1" applyBorder="1" applyAlignment="1">
      <alignment horizontal="center" vertical="center" wrapText="1"/>
    </xf>
    <xf numFmtId="0" fontId="0" fillId="7" borderId="65" xfId="3" applyFont="1" applyFill="1" applyBorder="1" applyAlignment="1">
      <alignment horizontal="center" vertical="center"/>
    </xf>
    <xf numFmtId="165" fontId="1" fillId="7" borderId="50" xfId="3" applyNumberFormat="1" applyFill="1" applyBorder="1" applyAlignment="1">
      <alignment horizontal="center" vertical="center"/>
    </xf>
    <xf numFmtId="165" fontId="1" fillId="7" borderId="38" xfId="3" applyNumberFormat="1" applyFill="1" applyBorder="1" applyAlignment="1">
      <alignment horizontal="center" vertical="center"/>
    </xf>
    <xf numFmtId="165" fontId="1" fillId="7" borderId="51" xfId="3" applyNumberFormat="1" applyFill="1" applyBorder="1" applyAlignment="1">
      <alignment horizontal="center" vertical="center"/>
    </xf>
    <xf numFmtId="165" fontId="2" fillId="7" borderId="0" xfId="3" applyNumberFormat="1" applyFont="1" applyFill="1" applyBorder="1" applyAlignment="1">
      <alignment horizontal="center" vertical="center"/>
    </xf>
    <xf numFmtId="0" fontId="23" fillId="7" borderId="0" xfId="37" applyFill="1" applyBorder="1" applyAlignment="1">
      <alignment vertical="center" wrapText="1"/>
    </xf>
    <xf numFmtId="0" fontId="19" fillId="7" borderId="0" xfId="0" applyFont="1" applyFill="1" applyBorder="1" applyAlignment="1">
      <alignment horizontal="center" vertical="center" wrapText="1"/>
    </xf>
    <xf numFmtId="0" fontId="19" fillId="7" borderId="0" xfId="0" applyFont="1" applyFill="1" applyBorder="1" applyAlignment="1">
      <alignment horizontal="center" vertical="center"/>
    </xf>
    <xf numFmtId="0" fontId="1" fillId="7" borderId="46" xfId="0" applyFont="1" applyFill="1" applyBorder="1"/>
    <xf numFmtId="0" fontId="1" fillId="7" borderId="15" xfId="0" applyFont="1" applyFill="1" applyBorder="1"/>
    <xf numFmtId="0" fontId="1" fillId="7" borderId="43" xfId="0" applyFont="1" applyFill="1" applyBorder="1"/>
    <xf numFmtId="0" fontId="1" fillId="7" borderId="5" xfId="0" applyFont="1" applyFill="1" applyBorder="1"/>
    <xf numFmtId="165" fontId="2" fillId="7" borderId="18" xfId="3" applyNumberFormat="1" applyFont="1" applyFill="1" applyBorder="1" applyAlignment="1">
      <alignment horizontal="center" vertical="center"/>
    </xf>
    <xf numFmtId="0" fontId="1" fillId="7" borderId="47" xfId="0" applyFont="1" applyFill="1" applyBorder="1"/>
    <xf numFmtId="0" fontId="1" fillId="7" borderId="44" xfId="0" applyFont="1" applyFill="1" applyBorder="1"/>
    <xf numFmtId="0" fontId="25" fillId="7" borderId="0" xfId="0" applyFont="1" applyFill="1" applyBorder="1" applyAlignment="1">
      <alignment vertical="center"/>
    </xf>
    <xf numFmtId="0" fontId="25" fillId="7" borderId="64" xfId="0" applyFont="1" applyFill="1" applyBorder="1" applyAlignment="1">
      <alignment horizontal="center" vertical="center"/>
    </xf>
    <xf numFmtId="0" fontId="25" fillId="7" borderId="37" xfId="0" applyFont="1" applyFill="1" applyBorder="1" applyAlignment="1">
      <alignment horizontal="center" vertical="center"/>
    </xf>
    <xf numFmtId="0" fontId="25" fillId="7" borderId="65" xfId="0" applyFont="1" applyFill="1" applyBorder="1" applyAlignment="1">
      <alignment horizontal="center" vertical="center"/>
    </xf>
    <xf numFmtId="0" fontId="47" fillId="7" borderId="26" xfId="0" applyFont="1" applyFill="1" applyBorder="1" applyAlignment="1">
      <alignment horizontal="center" vertical="center"/>
    </xf>
    <xf numFmtId="0" fontId="47" fillId="7" borderId="6" xfId="0" applyFont="1" applyFill="1" applyBorder="1" applyAlignment="1">
      <alignment horizontal="center" vertical="center"/>
    </xf>
    <xf numFmtId="0" fontId="47" fillId="7" borderId="50" xfId="0" applyFont="1" applyFill="1" applyBorder="1" applyAlignment="1">
      <alignment horizontal="center" vertical="center"/>
    </xf>
    <xf numFmtId="0" fontId="47" fillId="7" borderId="38" xfId="0" applyFont="1" applyFill="1" applyBorder="1" applyAlignment="1">
      <alignment horizontal="center" vertical="center"/>
    </xf>
    <xf numFmtId="44" fontId="47" fillId="7" borderId="38" xfId="0" applyNumberFormat="1" applyFont="1" applyFill="1" applyBorder="1" applyAlignment="1">
      <alignment horizontal="center" vertical="center"/>
    </xf>
    <xf numFmtId="4" fontId="32" fillId="7" borderId="17" xfId="13" applyNumberFormat="1" applyFont="1" applyFill="1" applyBorder="1" applyAlignment="1">
      <alignment vertical="center"/>
    </xf>
    <xf numFmtId="4" fontId="32" fillId="7" borderId="18" xfId="13" applyNumberFormat="1" applyFont="1" applyFill="1" applyBorder="1" applyAlignment="1">
      <alignment vertical="center" wrapText="1"/>
    </xf>
    <xf numFmtId="4" fontId="32" fillId="7" borderId="18" xfId="13" applyNumberFormat="1" applyFont="1" applyFill="1" applyBorder="1" applyAlignment="1">
      <alignment horizontal="right" vertical="center" wrapText="1"/>
    </xf>
    <xf numFmtId="17" fontId="32" fillId="7" borderId="19" xfId="13" applyNumberFormat="1" applyFont="1" applyFill="1" applyBorder="1" applyAlignment="1">
      <alignment horizontal="left" vertical="center" wrapText="1"/>
    </xf>
    <xf numFmtId="17" fontId="32" fillId="7" borderId="0" xfId="13" applyNumberFormat="1" applyFont="1" applyFill="1" applyBorder="1" applyAlignment="1">
      <alignment horizontal="left" vertical="center" wrapText="1"/>
    </xf>
    <xf numFmtId="4" fontId="32" fillId="7" borderId="20" xfId="13" applyNumberFormat="1" applyFont="1" applyFill="1" applyBorder="1" applyAlignment="1">
      <alignment vertical="center"/>
    </xf>
    <xf numFmtId="4" fontId="32" fillId="7" borderId="21" xfId="13" applyNumberFormat="1" applyFont="1" applyFill="1" applyBorder="1" applyAlignment="1">
      <alignment vertical="center"/>
    </xf>
    <xf numFmtId="4" fontId="32" fillId="7" borderId="21" xfId="13" applyNumberFormat="1" applyFont="1" applyFill="1" applyBorder="1" applyAlignment="1">
      <alignment horizontal="right" vertical="center"/>
    </xf>
    <xf numFmtId="10" fontId="32" fillId="7" borderId="22" xfId="14" applyNumberFormat="1" applyFont="1" applyFill="1" applyBorder="1" applyAlignment="1">
      <alignment horizontal="left" vertical="center"/>
    </xf>
    <xf numFmtId="10" fontId="32" fillId="7" borderId="0" xfId="14" applyNumberFormat="1" applyFont="1" applyFill="1" applyBorder="1" applyAlignment="1">
      <alignment horizontal="left" vertical="center"/>
    </xf>
    <xf numFmtId="4" fontId="32" fillId="7" borderId="42" xfId="13" applyNumberFormat="1" applyFont="1" applyFill="1" applyBorder="1" applyAlignment="1">
      <alignment vertical="center"/>
    </xf>
    <xf numFmtId="4" fontId="32" fillId="7" borderId="0" xfId="13" applyNumberFormat="1" applyFont="1" applyFill="1" applyBorder="1" applyAlignment="1">
      <alignment vertical="center"/>
    </xf>
    <xf numFmtId="4" fontId="32" fillId="7" borderId="0" xfId="13" applyNumberFormat="1" applyFont="1" applyFill="1" applyBorder="1" applyAlignment="1">
      <alignment horizontal="right" vertical="center"/>
    </xf>
    <xf numFmtId="10" fontId="32" fillId="7" borderId="39" xfId="14" applyNumberFormat="1" applyFont="1" applyFill="1" applyBorder="1" applyAlignment="1">
      <alignment horizontal="left" vertical="center"/>
    </xf>
    <xf numFmtId="44" fontId="26" fillId="7" borderId="6" xfId="15" applyNumberFormat="1" applyFont="1" applyFill="1" applyBorder="1" applyAlignment="1" applyProtection="1">
      <alignment horizontal="center"/>
      <protection locked="0"/>
    </xf>
    <xf numFmtId="0" fontId="47" fillId="7" borderId="0" xfId="0" applyFont="1" applyFill="1" applyAlignment="1">
      <alignment vertical="center"/>
    </xf>
    <xf numFmtId="0" fontId="1" fillId="7" borderId="0" xfId="0" applyFont="1" applyFill="1" applyAlignment="1">
      <alignment vertical="center"/>
    </xf>
    <xf numFmtId="0" fontId="25" fillId="7" borderId="0" xfId="0" applyFont="1" applyFill="1" applyBorder="1" applyAlignment="1">
      <alignment horizontal="center" vertical="center"/>
    </xf>
    <xf numFmtId="0" fontId="47" fillId="7" borderId="0" xfId="0" applyFont="1" applyFill="1" applyBorder="1" applyAlignment="1">
      <alignment horizontal="center" vertical="center"/>
    </xf>
    <xf numFmtId="44" fontId="47" fillId="7" borderId="0" xfId="0" applyNumberFormat="1" applyFont="1" applyFill="1" applyBorder="1" applyAlignment="1">
      <alignment horizontal="center" vertical="center"/>
    </xf>
    <xf numFmtId="44" fontId="1" fillId="7" borderId="0" xfId="0" applyNumberFormat="1" applyFont="1" applyFill="1" applyBorder="1" applyAlignment="1">
      <alignment vertical="center"/>
    </xf>
    <xf numFmtId="0" fontId="1" fillId="7" borderId="0" xfId="0" applyFont="1" applyFill="1" applyBorder="1" applyAlignment="1">
      <alignment horizontal="center" vertical="center"/>
    </xf>
    <xf numFmtId="44" fontId="26" fillId="8" borderId="6" xfId="15" applyNumberFormat="1" applyFont="1" applyFill="1" applyBorder="1" applyAlignment="1" applyProtection="1">
      <alignment horizontal="center"/>
      <protection locked="0"/>
    </xf>
    <xf numFmtId="44" fontId="51" fillId="8" borderId="6" xfId="15" applyNumberFormat="1" applyFont="1" applyFill="1" applyBorder="1" applyAlignment="1" applyProtection="1">
      <alignment horizontal="center"/>
      <protection locked="0"/>
    </xf>
    <xf numFmtId="0" fontId="27" fillId="7" borderId="0" xfId="0" applyFont="1" applyFill="1"/>
    <xf numFmtId="44" fontId="47" fillId="7" borderId="27" xfId="0" applyNumberFormat="1" applyFont="1" applyFill="1" applyBorder="1"/>
    <xf numFmtId="44" fontId="47" fillId="7" borderId="51" xfId="0" applyNumberFormat="1" applyFont="1" applyFill="1" applyBorder="1"/>
    <xf numFmtId="44" fontId="25" fillId="7" borderId="4" xfId="0" applyNumberFormat="1" applyFont="1" applyFill="1" applyBorder="1"/>
    <xf numFmtId="10" fontId="27" fillId="8" borderId="6" xfId="0" applyNumberFormat="1" applyFont="1" applyFill="1" applyBorder="1" applyAlignment="1">
      <alignment horizontal="center" vertical="center"/>
    </xf>
    <xf numFmtId="44" fontId="47" fillId="4" borderId="6" xfId="15" applyNumberFormat="1" applyFont="1" applyFill="1" applyBorder="1" applyAlignment="1">
      <alignment horizontal="center" vertical="center"/>
    </xf>
    <xf numFmtId="10" fontId="27" fillId="8" borderId="24" xfId="0" applyNumberFormat="1" applyFont="1" applyFill="1" applyBorder="1" applyAlignment="1">
      <alignment horizontal="center" vertical="center"/>
    </xf>
    <xf numFmtId="10" fontId="27" fillId="8" borderId="25" xfId="0" applyNumberFormat="1" applyFont="1" applyFill="1" applyBorder="1" applyAlignment="1">
      <alignment horizontal="center" vertical="center"/>
    </xf>
    <xf numFmtId="44" fontId="47" fillId="4" borderId="27" xfId="15" applyNumberFormat="1" applyFont="1" applyFill="1" applyBorder="1" applyAlignment="1">
      <alignment horizontal="center" vertical="center"/>
    </xf>
    <xf numFmtId="10" fontId="27" fillId="8" borderId="27" xfId="0" applyNumberFormat="1" applyFont="1" applyFill="1" applyBorder="1" applyAlignment="1">
      <alignment horizontal="center" vertical="center"/>
    </xf>
    <xf numFmtId="44" fontId="47" fillId="4" borderId="40" xfId="15" applyNumberFormat="1" applyFont="1" applyFill="1" applyBorder="1" applyAlignment="1">
      <alignment horizontal="center" vertical="center"/>
    </xf>
    <xf numFmtId="44" fontId="47" fillId="4" borderId="31" xfId="15" applyNumberFormat="1" applyFont="1" applyFill="1" applyBorder="1" applyAlignment="1">
      <alignment horizontal="center" vertical="center"/>
    </xf>
    <xf numFmtId="44" fontId="47" fillId="4" borderId="32" xfId="15" applyNumberFormat="1" applyFont="1" applyFill="1" applyBorder="1" applyAlignment="1">
      <alignment horizontal="center" vertical="center"/>
    </xf>
    <xf numFmtId="4" fontId="33" fillId="0" borderId="17" xfId="3" applyNumberFormat="1" applyFont="1" applyBorder="1" applyAlignment="1">
      <alignment horizontal="center" vertical="center" wrapText="1"/>
    </xf>
    <xf numFmtId="2" fontId="33" fillId="0" borderId="18" xfId="3" applyNumberFormat="1" applyFont="1" applyBorder="1" applyAlignment="1">
      <alignment horizontal="center" vertical="center" wrapText="1"/>
    </xf>
    <xf numFmtId="4" fontId="33" fillId="0" borderId="18" xfId="3" applyNumberFormat="1" applyFont="1" applyBorder="1" applyAlignment="1">
      <alignment horizontal="center" vertical="center" wrapText="1"/>
    </xf>
    <xf numFmtId="4" fontId="33" fillId="0" borderId="19" xfId="3" applyNumberFormat="1" applyFont="1" applyBorder="1" applyAlignment="1">
      <alignment horizontal="center" vertical="center" wrapText="1"/>
    </xf>
    <xf numFmtId="0" fontId="33" fillId="0" borderId="42" xfId="2" applyFont="1" applyBorder="1"/>
    <xf numFmtId="2" fontId="33" fillId="11" borderId="0" xfId="2" applyNumberFormat="1" applyFont="1" applyFill="1" applyBorder="1" applyAlignment="1" applyProtection="1">
      <alignment horizontal="center" vertical="center"/>
      <protection locked="0"/>
    </xf>
    <xf numFmtId="0" fontId="33" fillId="0" borderId="39" xfId="2" applyFont="1" applyBorder="1"/>
    <xf numFmtId="2" fontId="33" fillId="0" borderId="0" xfId="2" applyNumberFormat="1" applyFont="1" applyBorder="1" applyAlignment="1">
      <alignment horizontal="center" vertical="center"/>
    </xf>
    <xf numFmtId="44" fontId="27" fillId="11" borderId="0" xfId="4" applyFont="1" applyFill="1" applyBorder="1" applyAlignment="1" applyProtection="1">
      <alignment horizontal="center" vertical="center"/>
      <protection locked="0"/>
    </xf>
    <xf numFmtId="0" fontId="35" fillId="0" borderId="0" xfId="2" applyFont="1" applyBorder="1"/>
    <xf numFmtId="0" fontId="33" fillId="0" borderId="42" xfId="2" applyFont="1" applyBorder="1" applyAlignment="1">
      <alignment vertical="center"/>
    </xf>
    <xf numFmtId="2" fontId="27" fillId="11" borderId="0" xfId="4" applyNumberFormat="1" applyFont="1" applyFill="1" applyBorder="1" applyAlignment="1" applyProtection="1">
      <alignment horizontal="center" vertical="center"/>
      <protection locked="0"/>
    </xf>
    <xf numFmtId="0" fontId="30" fillId="0" borderId="42" xfId="0" applyFont="1" applyBorder="1"/>
    <xf numFmtId="0" fontId="27" fillId="0" borderId="0" xfId="0" applyFont="1" applyBorder="1" applyAlignment="1">
      <alignment vertical="center"/>
    </xf>
    <xf numFmtId="0" fontId="36" fillId="0" borderId="42" xfId="0" applyFont="1" applyBorder="1" applyAlignment="1">
      <alignment horizontal="center" vertical="center" wrapText="1"/>
    </xf>
    <xf numFmtId="10" fontId="37" fillId="11" borderId="0" xfId="0" applyNumberFormat="1" applyFont="1" applyFill="1" applyBorder="1" applyAlignment="1" applyProtection="1">
      <alignment horizontal="center" vertical="center" wrapText="1"/>
      <protection locked="0"/>
    </xf>
    <xf numFmtId="0" fontId="27" fillId="0" borderId="20" xfId="0" applyFont="1" applyBorder="1"/>
    <xf numFmtId="0" fontId="27" fillId="0" borderId="21" xfId="0" applyFont="1" applyBorder="1"/>
    <xf numFmtId="0" fontId="33" fillId="0" borderId="21" xfId="2" applyFont="1" applyBorder="1"/>
    <xf numFmtId="0" fontId="33" fillId="0" borderId="22" xfId="2" applyFont="1" applyBorder="1"/>
    <xf numFmtId="0" fontId="0" fillId="0" borderId="42" xfId="0" applyBorder="1"/>
    <xf numFmtId="0" fontId="4" fillId="0" borderId="0" xfId="2" applyFont="1" applyBorder="1"/>
    <xf numFmtId="0" fontId="4" fillId="0" borderId="39" xfId="2" applyFont="1" applyBorder="1"/>
    <xf numFmtId="0" fontId="1" fillId="0" borderId="0" xfId="2" applyFont="1" applyBorder="1"/>
    <xf numFmtId="0" fontId="4" fillId="0" borderId="0" xfId="2" applyFont="1" applyBorder="1" applyAlignment="1">
      <alignment horizontal="center"/>
    </xf>
    <xf numFmtId="0" fontId="4" fillId="0" borderId="39" xfId="2" applyFont="1" applyBorder="1" applyAlignment="1">
      <alignment horizontal="center"/>
    </xf>
    <xf numFmtId="0" fontId="4" fillId="0" borderId="42" xfId="2" applyFont="1" applyBorder="1"/>
    <xf numFmtId="164" fontId="4" fillId="0" borderId="0" xfId="2" applyNumberFormat="1" applyFont="1" applyBorder="1" applyAlignment="1">
      <alignment horizontal="center"/>
    </xf>
    <xf numFmtId="0" fontId="4" fillId="0" borderId="20" xfId="2" applyFont="1" applyBorder="1"/>
    <xf numFmtId="164" fontId="4" fillId="0" borderId="21" xfId="2" applyNumberFormat="1" applyFont="1" applyBorder="1" applyAlignment="1">
      <alignment horizontal="center"/>
    </xf>
    <xf numFmtId="0" fontId="4" fillId="0" borderId="21" xfId="2" applyFont="1" applyBorder="1"/>
    <xf numFmtId="0" fontId="4" fillId="0" borderId="22" xfId="2" applyFont="1" applyBorder="1"/>
    <xf numFmtId="0" fontId="1" fillId="0" borderId="0" xfId="3" applyBorder="1"/>
    <xf numFmtId="44" fontId="41" fillId="0" borderId="27" xfId="3" applyNumberFormat="1" applyFont="1" applyBorder="1" applyAlignment="1">
      <alignment horizontal="center" vertical="center"/>
    </xf>
    <xf numFmtId="44" fontId="40" fillId="0" borderId="27" xfId="3" applyNumberFormat="1" applyFont="1" applyBorder="1" applyAlignment="1">
      <alignment horizontal="center" vertical="center"/>
    </xf>
    <xf numFmtId="44" fontId="41" fillId="12" borderId="6" xfId="3" applyNumberFormat="1" applyFont="1" applyFill="1" applyBorder="1" applyAlignment="1" applyProtection="1">
      <alignment horizontal="center" vertical="center"/>
      <protection locked="0"/>
    </xf>
    <xf numFmtId="44" fontId="41" fillId="12" borderId="7" xfId="3" applyNumberFormat="1" applyFont="1" applyFill="1" applyBorder="1" applyAlignment="1" applyProtection="1">
      <alignment horizontal="center" vertical="center"/>
      <protection locked="0"/>
    </xf>
    <xf numFmtId="44" fontId="40" fillId="0" borderId="32" xfId="3" applyNumberFormat="1" applyFont="1" applyBorder="1" applyAlignment="1">
      <alignment horizontal="center" vertical="center"/>
    </xf>
    <xf numFmtId="0" fontId="1" fillId="0" borderId="1" xfId="3" applyBorder="1"/>
    <xf numFmtId="0" fontId="1" fillId="0" borderId="2" xfId="3" applyBorder="1"/>
    <xf numFmtId="0" fontId="1" fillId="0" borderId="3" xfId="3" applyBorder="1"/>
    <xf numFmtId="0" fontId="1" fillId="4" borderId="1" xfId="3" applyFill="1" applyBorder="1"/>
    <xf numFmtId="0" fontId="1" fillId="4" borderId="2" xfId="3" applyFill="1" applyBorder="1"/>
    <xf numFmtId="0" fontId="1" fillId="4" borderId="3" xfId="3" applyFill="1" applyBorder="1"/>
    <xf numFmtId="0" fontId="27" fillId="0" borderId="24" xfId="0" applyFont="1" applyBorder="1" applyAlignment="1">
      <alignment horizontal="center" vertical="center" wrapText="1"/>
    </xf>
    <xf numFmtId="44" fontId="27" fillId="10" borderId="24" xfId="0" applyNumberFormat="1" applyFont="1" applyFill="1" applyBorder="1" applyAlignment="1">
      <alignment horizontal="center" vertical="center" wrapText="1"/>
    </xf>
    <xf numFmtId="0" fontId="27" fillId="0" borderId="25" xfId="0" applyFont="1" applyBorder="1" applyAlignment="1">
      <alignment horizontal="center" vertical="center" wrapText="1"/>
    </xf>
    <xf numFmtId="165" fontId="25" fillId="10" borderId="70" xfId="0" applyNumberFormat="1" applyFont="1" applyFill="1" applyBorder="1" applyAlignment="1">
      <alignment horizontal="center" vertical="center"/>
    </xf>
    <xf numFmtId="0" fontId="25" fillId="0" borderId="76" xfId="0" applyFont="1" applyBorder="1" applyAlignment="1">
      <alignment horizontal="center" vertical="center" wrapText="1"/>
    </xf>
    <xf numFmtId="44" fontId="25" fillId="10" borderId="36" xfId="0" applyNumberFormat="1" applyFont="1" applyFill="1" applyBorder="1" applyAlignment="1">
      <alignment horizontal="center" vertical="center"/>
    </xf>
    <xf numFmtId="0" fontId="25" fillId="0" borderId="49" xfId="0" applyFont="1" applyBorder="1" applyAlignment="1">
      <alignment horizontal="center" vertical="center"/>
    </xf>
    <xf numFmtId="0" fontId="27" fillId="0" borderId="31" xfId="0" applyFont="1" applyBorder="1" applyAlignment="1">
      <alignment horizontal="center" vertical="center" wrapText="1"/>
    </xf>
    <xf numFmtId="44" fontId="27" fillId="10" borderId="31" xfId="0" applyNumberFormat="1" applyFont="1" applyFill="1" applyBorder="1" applyAlignment="1">
      <alignment horizontal="center" vertical="center"/>
    </xf>
    <xf numFmtId="0" fontId="27" fillId="0" borderId="32" xfId="0" applyFont="1" applyBorder="1" applyAlignment="1">
      <alignment horizontal="center" vertical="center" wrapText="1"/>
    </xf>
    <xf numFmtId="0" fontId="27" fillId="4" borderId="111" xfId="0" applyFont="1" applyFill="1" applyBorder="1"/>
    <xf numFmtId="0" fontId="27" fillId="0" borderId="112" xfId="0" applyFont="1" applyBorder="1"/>
    <xf numFmtId="4" fontId="24" fillId="2" borderId="42" xfId="3" applyNumberFormat="1" applyFont="1" applyFill="1" applyBorder="1" applyAlignment="1">
      <alignment vertical="center"/>
    </xf>
    <xf numFmtId="4" fontId="24" fillId="2" borderId="0" xfId="3" applyNumberFormat="1" applyFont="1" applyFill="1" applyBorder="1" applyAlignment="1">
      <alignment horizontal="center" vertical="center"/>
    </xf>
    <xf numFmtId="4" fontId="24" fillId="2" borderId="0" xfId="3" applyNumberFormat="1" applyFont="1" applyFill="1" applyBorder="1" applyAlignment="1">
      <alignment vertical="center"/>
    </xf>
    <xf numFmtId="169" fontId="24" fillId="2" borderId="39" xfId="12" applyNumberFormat="1" applyFont="1" applyFill="1" applyBorder="1" applyAlignment="1" applyProtection="1">
      <alignment vertical="center" shrinkToFit="1"/>
    </xf>
    <xf numFmtId="4" fontId="26" fillId="2" borderId="42" xfId="3" applyNumberFormat="1" applyFont="1" applyFill="1" applyBorder="1" applyAlignment="1">
      <alignment vertical="center"/>
    </xf>
    <xf numFmtId="4" fontId="26" fillId="2" borderId="0" xfId="3" applyNumberFormat="1" applyFont="1" applyFill="1" applyBorder="1" applyAlignment="1">
      <alignment horizontal="center" vertical="center"/>
    </xf>
    <xf numFmtId="1" fontId="26" fillId="2" borderId="0" xfId="3" applyNumberFormat="1" applyFont="1" applyFill="1" applyBorder="1" applyAlignment="1">
      <alignment vertical="center"/>
    </xf>
    <xf numFmtId="170" fontId="26" fillId="10" borderId="0" xfId="3" applyNumberFormat="1" applyFont="1" applyFill="1" applyBorder="1" applyAlignment="1" applyProtection="1">
      <alignment vertical="center"/>
      <protection locked="0"/>
    </xf>
    <xf numFmtId="169" fontId="26" fillId="2" borderId="39" xfId="12" applyNumberFormat="1" applyFont="1" applyFill="1" applyBorder="1" applyAlignment="1" applyProtection="1">
      <alignment vertical="center"/>
    </xf>
    <xf numFmtId="10" fontId="26" fillId="10" borderId="0" xfId="3" applyNumberFormat="1" applyFont="1" applyFill="1" applyBorder="1" applyAlignment="1" applyProtection="1">
      <alignment horizontal="right" vertical="center"/>
      <protection locked="0"/>
    </xf>
    <xf numFmtId="170" fontId="26" fillId="2" borderId="0" xfId="3" applyNumberFormat="1" applyFont="1" applyFill="1" applyBorder="1" applyAlignment="1">
      <alignment vertical="center"/>
    </xf>
    <xf numFmtId="171" fontId="26" fillId="10" borderId="0" xfId="3" applyNumberFormat="1" applyFont="1" applyFill="1" applyBorder="1" applyAlignment="1" applyProtection="1">
      <alignment horizontal="right" vertical="center"/>
      <protection locked="0"/>
    </xf>
    <xf numFmtId="10" fontId="26" fillId="2" borderId="0" xfId="3" applyNumberFormat="1" applyFont="1" applyFill="1" applyBorder="1" applyAlignment="1">
      <alignment vertical="center"/>
    </xf>
    <xf numFmtId="172" fontId="26" fillId="2" borderId="0" xfId="3" applyNumberFormat="1" applyFont="1" applyFill="1" applyBorder="1" applyAlignment="1">
      <alignment vertical="center"/>
    </xf>
    <xf numFmtId="169" fontId="24" fillId="2" borderId="39" xfId="12" applyNumberFormat="1" applyFont="1" applyFill="1" applyBorder="1" applyAlignment="1" applyProtection="1">
      <alignment vertical="center"/>
    </xf>
    <xf numFmtId="2" fontId="26" fillId="2" borderId="0" xfId="3" applyNumberFormat="1" applyFont="1" applyFill="1" applyBorder="1" applyAlignment="1">
      <alignment vertical="center"/>
    </xf>
    <xf numFmtId="172" fontId="26" fillId="10" borderId="0" xfId="3" applyNumberFormat="1" applyFont="1" applyFill="1" applyBorder="1" applyAlignment="1" applyProtection="1">
      <alignment vertical="center"/>
      <protection locked="0"/>
    </xf>
    <xf numFmtId="4" fontId="26" fillId="2" borderId="42" xfId="3" applyNumberFormat="1" applyFont="1" applyFill="1" applyBorder="1" applyAlignment="1">
      <alignment vertical="center" wrapText="1"/>
    </xf>
    <xf numFmtId="4" fontId="26" fillId="2" borderId="0" xfId="3" applyNumberFormat="1" applyFont="1" applyFill="1" applyBorder="1" applyAlignment="1">
      <alignment vertical="center" wrapText="1"/>
    </xf>
    <xf numFmtId="173" fontId="26" fillId="2" borderId="0" xfId="3" applyNumberFormat="1" applyFont="1" applyFill="1" applyBorder="1" applyAlignment="1">
      <alignment vertical="center"/>
    </xf>
    <xf numFmtId="1" fontId="26" fillId="10" borderId="0" xfId="3" applyNumberFormat="1" applyFont="1" applyFill="1" applyBorder="1" applyAlignment="1" applyProtection="1">
      <alignment vertical="center"/>
      <protection locked="0"/>
    </xf>
    <xf numFmtId="164" fontId="26" fillId="10" borderId="0" xfId="3" applyNumberFormat="1" applyFont="1" applyFill="1" applyBorder="1" applyAlignment="1" applyProtection="1">
      <alignment vertical="center"/>
      <protection locked="0"/>
    </xf>
    <xf numFmtId="4" fontId="26" fillId="2" borderId="43" xfId="3" applyNumberFormat="1" applyFont="1" applyFill="1" applyBorder="1" applyAlignment="1">
      <alignment vertical="center"/>
    </xf>
    <xf numFmtId="169" fontId="26" fillId="2" borderId="44" xfId="12" applyNumberFormat="1" applyFont="1" applyFill="1" applyBorder="1" applyAlignment="1" applyProtection="1">
      <alignment vertical="center"/>
    </xf>
    <xf numFmtId="4" fontId="24" fillId="2" borderId="33" xfId="3" applyNumberFormat="1" applyFont="1" applyFill="1" applyBorder="1" applyAlignment="1">
      <alignment vertical="center"/>
    </xf>
    <xf numFmtId="169" fontId="24" fillId="2" borderId="45" xfId="12" applyNumberFormat="1" applyFont="1" applyFill="1" applyBorder="1" applyAlignment="1" applyProtection="1">
      <alignment vertical="center" shrinkToFit="1"/>
    </xf>
    <xf numFmtId="0" fontId="27" fillId="2" borderId="42" xfId="3" applyFont="1" applyFill="1" applyBorder="1"/>
    <xf numFmtId="0" fontId="27" fillId="2" borderId="0" xfId="3" applyFont="1" applyFill="1" applyBorder="1"/>
    <xf numFmtId="0" fontId="27" fillId="2" borderId="39" xfId="3" applyFont="1" applyFill="1" applyBorder="1"/>
    <xf numFmtId="175" fontId="26" fillId="10" borderId="0" xfId="3" applyNumberFormat="1" applyFont="1" applyFill="1" applyBorder="1" applyAlignment="1" applyProtection="1">
      <alignment horizontal="right" vertical="center"/>
      <protection locked="0"/>
    </xf>
    <xf numFmtId="4" fontId="26" fillId="2" borderId="46" xfId="3" applyNumberFormat="1" applyFont="1" applyFill="1" applyBorder="1" applyAlignment="1">
      <alignment vertical="center"/>
    </xf>
    <xf numFmtId="169" fontId="26" fillId="2" borderId="47" xfId="12" applyNumberFormat="1" applyFont="1" applyFill="1" applyBorder="1" applyAlignment="1" applyProtection="1">
      <alignment vertical="center"/>
    </xf>
    <xf numFmtId="4" fontId="24" fillId="2" borderId="43" xfId="3" applyNumberFormat="1" applyFont="1" applyFill="1" applyBorder="1" applyAlignment="1">
      <alignment vertical="center"/>
    </xf>
    <xf numFmtId="169" fontId="24" fillId="2" borderId="44" xfId="12" applyNumberFormat="1" applyFont="1" applyFill="1" applyBorder="1" applyAlignment="1" applyProtection="1">
      <alignment vertical="center" shrinkToFit="1"/>
    </xf>
    <xf numFmtId="9" fontId="26" fillId="10" borderId="0" xfId="3" applyNumberFormat="1" applyFont="1" applyFill="1" applyBorder="1" applyAlignment="1" applyProtection="1">
      <alignment horizontal="right" vertical="center"/>
      <protection locked="0"/>
    </xf>
    <xf numFmtId="0" fontId="27" fillId="2" borderId="33" xfId="3" applyFont="1" applyFill="1" applyBorder="1" applyAlignment="1">
      <alignment horizontal="center" vertical="center"/>
    </xf>
    <xf numFmtId="0" fontId="27" fillId="2" borderId="45" xfId="3" applyFont="1" applyFill="1" applyBorder="1" applyAlignment="1">
      <alignment horizontal="center" vertical="center" wrapText="1"/>
    </xf>
    <xf numFmtId="0" fontId="27" fillId="2" borderId="0" xfId="3" applyFont="1" applyFill="1" applyBorder="1" applyAlignment="1">
      <alignment horizontal="center"/>
    </xf>
    <xf numFmtId="165" fontId="27" fillId="2" borderId="0" xfId="3" applyNumberFormat="1" applyFont="1" applyFill="1" applyBorder="1" applyAlignment="1">
      <alignment horizontal="center"/>
    </xf>
    <xf numFmtId="44" fontId="27" fillId="2" borderId="0" xfId="3" applyNumberFormat="1" applyFont="1" applyFill="1" applyBorder="1"/>
    <xf numFmtId="165" fontId="27" fillId="2" borderId="39" xfId="3" applyNumberFormat="1" applyFont="1" applyFill="1" applyBorder="1" applyAlignment="1">
      <alignment horizontal="center"/>
    </xf>
    <xf numFmtId="0" fontId="27" fillId="2" borderId="0" xfId="3" applyNumberFormat="1" applyFont="1" applyFill="1" applyBorder="1" applyAlignment="1">
      <alignment horizontal="center"/>
    </xf>
    <xf numFmtId="44" fontId="28" fillId="2" borderId="45" xfId="15" applyFont="1" applyFill="1" applyBorder="1"/>
    <xf numFmtId="0" fontId="25" fillId="2" borderId="46" xfId="3" applyFont="1" applyFill="1" applyBorder="1" applyAlignment="1">
      <alignment horizontal="center"/>
    </xf>
    <xf numFmtId="44" fontId="28" fillId="2" borderId="47" xfId="15" applyFont="1" applyFill="1" applyBorder="1"/>
    <xf numFmtId="0" fontId="25" fillId="2" borderId="42" xfId="3" applyFont="1" applyFill="1" applyBorder="1" applyAlignment="1">
      <alignment horizontal="center"/>
    </xf>
    <xf numFmtId="44" fontId="28" fillId="2" borderId="39" xfId="15" applyFont="1" applyFill="1" applyBorder="1"/>
    <xf numFmtId="4" fontId="31" fillId="4" borderId="0" xfId="13" applyNumberFormat="1" applyFont="1" applyFill="1" applyBorder="1" applyAlignment="1">
      <alignment vertical="center" wrapText="1" shrinkToFit="1"/>
    </xf>
    <xf numFmtId="0" fontId="27" fillId="0" borderId="42" xfId="3" applyFont="1" applyBorder="1"/>
    <xf numFmtId="0" fontId="26" fillId="0" borderId="0" xfId="3" applyFont="1" applyBorder="1" applyAlignment="1">
      <alignment horizontal="center" vertical="center"/>
    </xf>
    <xf numFmtId="165" fontId="47" fillId="0" borderId="0" xfId="3" applyNumberFormat="1" applyFont="1" applyBorder="1" applyAlignment="1">
      <alignment horizontal="center"/>
    </xf>
    <xf numFmtId="0" fontId="27" fillId="0" borderId="0" xfId="3" applyFont="1" applyBorder="1" applyAlignment="1">
      <alignment horizontal="center"/>
    </xf>
    <xf numFmtId="165" fontId="27" fillId="0" borderId="0" xfId="3" applyNumberFormat="1" applyFont="1" applyBorder="1"/>
    <xf numFmtId="4" fontId="9" fillId="2" borderId="0" xfId="3" applyNumberFormat="1" applyFont="1" applyFill="1" applyBorder="1" applyAlignment="1">
      <alignment horizontal="center" vertical="center"/>
    </xf>
    <xf numFmtId="4" fontId="9" fillId="2" borderId="0" xfId="3" applyNumberFormat="1" applyFont="1" applyFill="1" applyBorder="1" applyAlignment="1">
      <alignment vertical="center"/>
    </xf>
    <xf numFmtId="4" fontId="10" fillId="2" borderId="0" xfId="3" applyNumberFormat="1" applyFont="1" applyFill="1" applyBorder="1" applyAlignment="1">
      <alignment horizontal="center" vertical="center"/>
    </xf>
    <xf numFmtId="1" fontId="10" fillId="2" borderId="0" xfId="3" applyNumberFormat="1" applyFont="1" applyFill="1" applyBorder="1" applyAlignment="1">
      <alignment vertical="center"/>
    </xf>
    <xf numFmtId="10" fontId="10" fillId="10" borderId="0" xfId="3" applyNumberFormat="1" applyFont="1" applyFill="1" applyBorder="1" applyAlignment="1" applyProtection="1">
      <alignment horizontal="right" vertical="center"/>
      <protection locked="0"/>
    </xf>
    <xf numFmtId="171" fontId="10" fillId="10" borderId="0" xfId="3" applyNumberFormat="1" applyFont="1" applyFill="1" applyBorder="1" applyAlignment="1" applyProtection="1">
      <alignment horizontal="right" vertical="center"/>
      <protection locked="0"/>
    </xf>
    <xf numFmtId="10" fontId="10" fillId="2" borderId="0" xfId="3" applyNumberFormat="1" applyFont="1" applyFill="1" applyBorder="1" applyAlignment="1">
      <alignment vertical="center"/>
    </xf>
    <xf numFmtId="2" fontId="10" fillId="2" borderId="0" xfId="3" applyNumberFormat="1" applyFont="1" applyFill="1" applyBorder="1" applyAlignment="1">
      <alignment vertical="center"/>
    </xf>
    <xf numFmtId="4" fontId="10" fillId="2" borderId="0" xfId="3" applyNumberFormat="1" applyFont="1" applyFill="1" applyBorder="1" applyAlignment="1">
      <alignment vertical="center" wrapText="1"/>
    </xf>
    <xf numFmtId="173" fontId="10" fillId="2" borderId="0" xfId="3" applyNumberFormat="1" applyFont="1" applyFill="1" applyBorder="1" applyAlignment="1">
      <alignment vertical="center"/>
    </xf>
    <xf numFmtId="1" fontId="10" fillId="10" borderId="0" xfId="3" applyNumberFormat="1" applyFont="1" applyFill="1" applyBorder="1" applyAlignment="1" applyProtection="1">
      <alignment vertical="center"/>
      <protection locked="0"/>
    </xf>
    <xf numFmtId="164" fontId="10" fillId="10" borderId="0" xfId="3" applyNumberFormat="1" applyFont="1" applyFill="1" applyBorder="1" applyAlignment="1" applyProtection="1">
      <alignment vertical="center"/>
      <protection locked="0"/>
    </xf>
    <xf numFmtId="4" fontId="10" fillId="2" borderId="0" xfId="3" applyNumberFormat="1" applyFont="1" applyFill="1" applyBorder="1" applyAlignment="1">
      <alignment horizontal="right" vertical="center"/>
    </xf>
    <xf numFmtId="9" fontId="10" fillId="10" borderId="0" xfId="3" applyNumberFormat="1" applyFont="1" applyFill="1" applyBorder="1" applyAlignment="1" applyProtection="1">
      <alignment horizontal="right" vertical="center"/>
      <protection locked="0"/>
    </xf>
    <xf numFmtId="4" fontId="9" fillId="7" borderId="0" xfId="3" applyNumberFormat="1" applyFont="1" applyFill="1" applyBorder="1" applyAlignment="1">
      <alignment horizontal="center" vertical="center"/>
    </xf>
    <xf numFmtId="4" fontId="9" fillId="7" borderId="0" xfId="3" applyNumberFormat="1" applyFont="1" applyFill="1" applyBorder="1" applyAlignment="1">
      <alignment vertical="center"/>
    </xf>
    <xf numFmtId="0" fontId="19" fillId="0" borderId="26" xfId="0" applyFont="1" applyBorder="1" applyAlignment="1">
      <alignment wrapText="1"/>
    </xf>
    <xf numFmtId="169" fontId="21" fillId="7" borderId="27" xfId="12" applyNumberFormat="1" applyFont="1" applyFill="1" applyBorder="1" applyAlignment="1" applyProtection="1">
      <alignment horizontal="center" vertical="center"/>
    </xf>
    <xf numFmtId="0" fontId="20" fillId="0" borderId="26" xfId="0" applyFont="1" applyBorder="1" applyAlignment="1">
      <alignment wrapText="1"/>
    </xf>
    <xf numFmtId="0" fontId="20" fillId="0" borderId="50" xfId="0" applyFont="1" applyBorder="1" applyAlignment="1">
      <alignment wrapText="1"/>
    </xf>
    <xf numFmtId="169" fontId="21" fillId="7" borderId="51" xfId="12" applyNumberFormat="1" applyFont="1" applyFill="1" applyBorder="1" applyAlignment="1" applyProtection="1">
      <alignment horizontal="center" vertical="center"/>
    </xf>
    <xf numFmtId="169" fontId="22" fillId="7" borderId="27" xfId="12" applyNumberFormat="1" applyFont="1" applyFill="1" applyBorder="1" applyAlignment="1" applyProtection="1">
      <alignment horizontal="center" vertical="center"/>
    </xf>
    <xf numFmtId="4" fontId="21" fillId="7" borderId="42" xfId="3" applyNumberFormat="1" applyFont="1" applyFill="1" applyBorder="1" applyAlignment="1">
      <alignment vertical="center"/>
    </xf>
    <xf numFmtId="169" fontId="21" fillId="7" borderId="39" xfId="12" applyNumberFormat="1" applyFont="1" applyFill="1" applyBorder="1" applyAlignment="1" applyProtection="1">
      <alignment vertical="center"/>
    </xf>
    <xf numFmtId="0" fontId="21" fillId="7" borderId="27" xfId="12" applyNumberFormat="1" applyFont="1" applyFill="1" applyBorder="1" applyAlignment="1" applyProtection="1">
      <alignment horizontal="right" vertical="center"/>
    </xf>
    <xf numFmtId="169" fontId="9" fillId="2" borderId="27" xfId="12" applyNumberFormat="1" applyFont="1" applyFill="1" applyBorder="1" applyAlignment="1" applyProtection="1">
      <alignment vertical="center" shrinkToFit="1"/>
    </xf>
    <xf numFmtId="1" fontId="1" fillId="2" borderId="0" xfId="3" applyNumberFormat="1" applyFill="1" applyBorder="1" applyAlignment="1">
      <alignment horizontal="center"/>
    </xf>
    <xf numFmtId="0" fontId="47" fillId="7" borderId="20" xfId="0" applyFont="1" applyFill="1" applyBorder="1" applyAlignment="1">
      <alignment horizontal="center" vertical="center" wrapText="1"/>
    </xf>
    <xf numFmtId="0" fontId="47" fillId="7" borderId="21" xfId="0" applyFont="1" applyFill="1" applyBorder="1" applyAlignment="1">
      <alignment horizontal="center" vertical="center" wrapText="1"/>
    </xf>
    <xf numFmtId="4" fontId="33" fillId="4" borderId="39" xfId="13" applyNumberFormat="1" applyFont="1" applyFill="1" applyBorder="1" applyAlignment="1">
      <alignment vertical="center"/>
    </xf>
    <xf numFmtId="4" fontId="33" fillId="0" borderId="46" xfId="0" applyNumberFormat="1" applyFont="1" applyBorder="1" applyAlignment="1">
      <alignment horizontal="left" vertical="center"/>
    </xf>
    <xf numFmtId="10" fontId="33" fillId="0" borderId="27" xfId="0" applyNumberFormat="1" applyFont="1" applyBorder="1" applyAlignment="1">
      <alignment horizontal="center" vertical="center"/>
    </xf>
    <xf numFmtId="10" fontId="33" fillId="11" borderId="27" xfId="0" applyNumberFormat="1" applyFont="1" applyFill="1" applyBorder="1" applyAlignment="1" applyProtection="1">
      <alignment horizontal="center" vertical="center"/>
      <protection locked="0"/>
    </xf>
    <xf numFmtId="10" fontId="31" fillId="0" borderId="32" xfId="0" applyNumberFormat="1" applyFont="1" applyBorder="1" applyAlignment="1">
      <alignment horizontal="center" vertical="center"/>
    </xf>
    <xf numFmtId="10" fontId="33" fillId="11" borderId="51" xfId="0" applyNumberFormat="1" applyFont="1" applyFill="1" applyBorder="1" applyAlignment="1" applyProtection="1">
      <alignment horizontal="center" vertical="center"/>
      <protection locked="0"/>
    </xf>
    <xf numFmtId="4" fontId="33" fillId="0" borderId="33" xfId="0" applyNumberFormat="1" applyFont="1" applyBorder="1" applyAlignment="1">
      <alignment horizontal="left" vertical="center" wrapText="1"/>
    </xf>
    <xf numFmtId="4" fontId="33" fillId="0" borderId="46" xfId="0" applyNumberFormat="1" applyFont="1" applyBorder="1" applyAlignment="1">
      <alignment horizontal="left" vertical="center" wrapText="1"/>
    </xf>
    <xf numFmtId="10" fontId="31" fillId="11" borderId="32" xfId="0" applyNumberFormat="1" applyFont="1" applyFill="1" applyBorder="1" applyAlignment="1" applyProtection="1">
      <alignment horizontal="center" vertical="center"/>
      <protection locked="0"/>
    </xf>
    <xf numFmtId="10" fontId="31" fillId="0" borderId="25" xfId="0" applyNumberFormat="1" applyFont="1" applyBorder="1" applyAlignment="1">
      <alignment horizontal="center" vertical="center"/>
    </xf>
    <xf numFmtId="4" fontId="41" fillId="7" borderId="6" xfId="3" applyNumberFormat="1" applyFont="1" applyFill="1" applyBorder="1" applyAlignment="1" applyProtection="1">
      <alignment horizontal="center" vertical="center"/>
      <protection locked="0"/>
    </xf>
    <xf numFmtId="4" fontId="41" fillId="7" borderId="37" xfId="3" applyNumberFormat="1" applyFont="1" applyFill="1" applyBorder="1" applyAlignment="1" applyProtection="1">
      <alignment horizontal="center" vertical="center"/>
      <protection locked="0"/>
    </xf>
    <xf numFmtId="4" fontId="41" fillId="7" borderId="7" xfId="3" applyNumberFormat="1" applyFont="1" applyFill="1" applyBorder="1" applyAlignment="1" applyProtection="1">
      <alignment horizontal="center" vertical="center"/>
      <protection locked="0"/>
    </xf>
    <xf numFmtId="0" fontId="31" fillId="0" borderId="1" xfId="3" applyFont="1" applyBorder="1" applyAlignment="1">
      <alignment horizontal="center"/>
    </xf>
    <xf numFmtId="0" fontId="31" fillId="0" borderId="2" xfId="3" applyFont="1" applyBorder="1" applyAlignment="1">
      <alignment horizontal="center"/>
    </xf>
    <xf numFmtId="0" fontId="31" fillId="0" borderId="3" xfId="3" applyFont="1" applyBorder="1" applyAlignment="1">
      <alignment horizontal="center"/>
    </xf>
    <xf numFmtId="0" fontId="35" fillId="0" borderId="0" xfId="2" applyFont="1" applyBorder="1" applyAlignment="1">
      <alignment horizontal="left" vertical="top" wrapText="1"/>
    </xf>
    <xf numFmtId="0" fontId="35" fillId="0" borderId="39" xfId="2" applyFont="1" applyBorder="1" applyAlignment="1">
      <alignment horizontal="left" vertical="top" wrapText="1"/>
    </xf>
    <xf numFmtId="0" fontId="35" fillId="0" borderId="0" xfId="2" applyFont="1" applyBorder="1" applyAlignment="1">
      <alignment horizontal="left" wrapText="1"/>
    </xf>
    <xf numFmtId="0" fontId="35" fillId="0" borderId="39" xfId="2" applyFont="1" applyBorder="1" applyAlignment="1">
      <alignment horizontal="left" wrapText="1"/>
    </xf>
    <xf numFmtId="0" fontId="45" fillId="0" borderId="17" xfId="0" applyFont="1" applyBorder="1" applyAlignment="1">
      <alignment horizontal="center" vertical="top" wrapText="1"/>
    </xf>
    <xf numFmtId="0" fontId="45" fillId="0" borderId="2" xfId="0" applyFont="1" applyBorder="1" applyAlignment="1">
      <alignment horizontal="center" vertical="top" wrapText="1"/>
    </xf>
    <xf numFmtId="0" fontId="45" fillId="0" borderId="3" xfId="0" applyFont="1" applyBorder="1" applyAlignment="1">
      <alignment horizontal="center" vertical="top" wrapText="1"/>
    </xf>
    <xf numFmtId="0" fontId="51" fillId="7" borderId="35" xfId="3" applyFont="1" applyFill="1" applyBorder="1" applyAlignment="1">
      <alignment horizontal="center" vertical="center" wrapText="1"/>
    </xf>
    <xf numFmtId="0" fontId="51" fillId="7" borderId="36" xfId="3" applyFont="1" applyFill="1" applyBorder="1" applyAlignment="1">
      <alignment horizontal="center" vertical="center" wrapText="1"/>
    </xf>
    <xf numFmtId="0" fontId="51" fillId="7" borderId="49" xfId="3" applyFont="1" applyFill="1" applyBorder="1" applyAlignment="1">
      <alignment horizontal="center" vertical="center" wrapText="1"/>
    </xf>
    <xf numFmtId="4" fontId="52" fillId="0" borderId="4" xfId="0" applyNumberFormat="1" applyFont="1" applyBorder="1" applyAlignment="1">
      <alignment horizontal="center" vertical="center" wrapText="1"/>
    </xf>
    <xf numFmtId="177" fontId="41" fillId="0" borderId="26" xfId="3" applyNumberFormat="1" applyFont="1" applyBorder="1" applyAlignment="1">
      <alignment vertical="center"/>
    </xf>
    <xf numFmtId="177" fontId="41" fillId="0" borderId="6" xfId="3" applyNumberFormat="1" applyFont="1" applyBorder="1" applyAlignment="1">
      <alignment vertical="center"/>
    </xf>
    <xf numFmtId="4" fontId="52" fillId="0" borderId="35" xfId="3" applyNumberFormat="1" applyFont="1" applyBorder="1" applyAlignment="1">
      <alignment horizontal="center" vertical="center" wrapText="1"/>
    </xf>
    <xf numFmtId="4" fontId="52" fillId="0" borderId="36" xfId="3" applyNumberFormat="1" applyFont="1" applyBorder="1" applyAlignment="1">
      <alignment horizontal="center" vertical="center" wrapText="1"/>
    </xf>
    <xf numFmtId="4" fontId="52" fillId="0" borderId="49" xfId="3" applyNumberFormat="1" applyFont="1" applyBorder="1" applyAlignment="1">
      <alignment horizontal="center" vertical="center" wrapText="1"/>
    </xf>
    <xf numFmtId="4" fontId="40" fillId="0" borderId="26" xfId="3" applyNumberFormat="1" applyFont="1" applyBorder="1" applyAlignment="1">
      <alignment horizontal="center" vertical="center"/>
    </xf>
    <xf numFmtId="4" fontId="40" fillId="0" borderId="6" xfId="3" applyNumberFormat="1" applyFont="1" applyBorder="1" applyAlignment="1">
      <alignment horizontal="center" vertical="center"/>
    </xf>
    <xf numFmtId="4" fontId="40" fillId="0" borderId="27" xfId="3" applyNumberFormat="1" applyFont="1" applyBorder="1" applyAlignment="1">
      <alignment horizontal="center" vertical="center"/>
    </xf>
    <xf numFmtId="4" fontId="41" fillId="0" borderId="26" xfId="3" applyNumberFormat="1" applyFont="1" applyBorder="1" applyAlignment="1">
      <alignment horizontal="center" vertical="center"/>
    </xf>
    <xf numFmtId="4" fontId="41" fillId="0" borderId="6" xfId="3" applyNumberFormat="1" applyFont="1" applyBorder="1" applyAlignment="1">
      <alignment horizontal="center" vertical="center"/>
    </xf>
    <xf numFmtId="177" fontId="41" fillId="0" borderId="26" xfId="3" applyNumberFormat="1" applyFont="1" applyBorder="1" applyAlignment="1">
      <alignment horizontal="left" vertical="center"/>
    </xf>
    <xf numFmtId="177" fontId="41" fillId="0" borderId="6" xfId="3" applyNumberFormat="1" applyFont="1" applyBorder="1" applyAlignment="1">
      <alignment horizontal="left" vertical="center"/>
    </xf>
    <xf numFmtId="177" fontId="40" fillId="0" borderId="33" xfId="3" applyNumberFormat="1" applyFont="1" applyBorder="1" applyAlignment="1">
      <alignment horizontal="right" vertical="center"/>
    </xf>
    <xf numFmtId="177" fontId="40" fillId="0" borderId="9" xfId="3" applyNumberFormat="1" applyFont="1" applyBorder="1" applyAlignment="1">
      <alignment horizontal="right" vertical="center"/>
    </xf>
    <xf numFmtId="177" fontId="41" fillId="0" borderId="33" xfId="3" applyNumberFormat="1" applyFont="1" applyBorder="1" applyAlignment="1">
      <alignment horizontal="right" vertical="center"/>
    </xf>
    <xf numFmtId="177" fontId="41" fillId="0" borderId="9" xfId="3" applyNumberFormat="1" applyFont="1" applyBorder="1" applyAlignment="1">
      <alignment horizontal="right" vertical="center"/>
    </xf>
    <xf numFmtId="177" fontId="41" fillId="0" borderId="33" xfId="3" applyNumberFormat="1" applyFont="1" applyBorder="1" applyAlignment="1">
      <alignment vertical="center"/>
    </xf>
    <xf numFmtId="177" fontId="41" fillId="0" borderId="9" xfId="3" applyNumberFormat="1" applyFont="1" applyBorder="1" applyAlignment="1">
      <alignment vertical="center"/>
    </xf>
    <xf numFmtId="177" fontId="41" fillId="0" borderId="8" xfId="3" applyNumberFormat="1" applyFont="1" applyBorder="1" applyAlignment="1">
      <alignment vertical="center"/>
    </xf>
    <xf numFmtId="177" fontId="40" fillId="0" borderId="40" xfId="3" applyNumberFormat="1" applyFont="1" applyBorder="1" applyAlignment="1">
      <alignment horizontal="right" vertical="center"/>
    </xf>
    <xf numFmtId="177" fontId="40" fillId="0" borderId="31" xfId="3" applyNumberFormat="1" applyFont="1" applyBorder="1" applyAlignment="1">
      <alignment horizontal="right" vertical="center"/>
    </xf>
    <xf numFmtId="177" fontId="41" fillId="0" borderId="26" xfId="3" applyNumberFormat="1" applyFont="1" applyBorder="1" applyAlignment="1">
      <alignment horizontal="right" vertical="center"/>
    </xf>
    <xf numFmtId="177" fontId="41" fillId="0" borderId="6" xfId="3" applyNumberFormat="1" applyFont="1" applyBorder="1" applyAlignment="1">
      <alignment horizontal="right" vertical="center"/>
    </xf>
    <xf numFmtId="177" fontId="40" fillId="0" borderId="26" xfId="3" applyNumberFormat="1" applyFont="1" applyBorder="1" applyAlignment="1">
      <alignment horizontal="right" vertical="center"/>
    </xf>
    <xf numFmtId="177" fontId="40" fillId="0" borderId="6" xfId="3" applyNumberFormat="1" applyFont="1" applyBorder="1" applyAlignment="1">
      <alignment horizontal="right" vertical="center"/>
    </xf>
    <xf numFmtId="177" fontId="41" fillId="0" borderId="33" xfId="3" applyNumberFormat="1" applyFont="1" applyBorder="1" applyAlignment="1">
      <alignment horizontal="left" vertical="center"/>
    </xf>
    <xf numFmtId="177" fontId="41" fillId="0" borderId="9" xfId="3" applyNumberFormat="1" applyFont="1" applyBorder="1" applyAlignment="1">
      <alignment horizontal="left" vertical="center"/>
    </xf>
    <xf numFmtId="177" fontId="41" fillId="0" borderId="8" xfId="3" applyNumberFormat="1" applyFont="1" applyBorder="1" applyAlignment="1">
      <alignment horizontal="left" vertical="center"/>
    </xf>
    <xf numFmtId="4" fontId="40" fillId="0" borderId="33" xfId="3" applyNumberFormat="1" applyFont="1" applyBorder="1" applyAlignment="1">
      <alignment horizontal="center" vertical="center"/>
    </xf>
    <xf numFmtId="4" fontId="40" fillId="0" borderId="9" xfId="3" applyNumberFormat="1" applyFont="1" applyBorder="1" applyAlignment="1">
      <alignment horizontal="center" vertical="center"/>
    </xf>
    <xf numFmtId="4" fontId="40" fillId="0" borderId="45" xfId="3" applyNumberFormat="1" applyFont="1" applyBorder="1" applyAlignment="1">
      <alignment horizontal="center" vertical="center"/>
    </xf>
    <xf numFmtId="4" fontId="41" fillId="0" borderId="33" xfId="3" applyNumberFormat="1" applyFont="1" applyBorder="1" applyAlignment="1">
      <alignment horizontal="center" vertical="center"/>
    </xf>
    <xf numFmtId="4" fontId="41" fillId="0" borderId="9" xfId="3" applyNumberFormat="1" applyFont="1" applyBorder="1" applyAlignment="1">
      <alignment horizontal="center" vertical="center"/>
    </xf>
    <xf numFmtId="4" fontId="41" fillId="0" borderId="8" xfId="3" applyNumberFormat="1" applyFont="1" applyBorder="1" applyAlignment="1">
      <alignment horizontal="center" vertical="center"/>
    </xf>
    <xf numFmtId="0" fontId="0" fillId="0" borderId="6" xfId="3" applyFont="1" applyBorder="1" applyAlignment="1">
      <alignment horizontal="center"/>
    </xf>
    <xf numFmtId="165" fontId="19" fillId="0" borderId="7" xfId="3" applyNumberFormat="1" applyFont="1" applyBorder="1" applyAlignment="1">
      <alignment horizontal="center" vertical="center"/>
    </xf>
    <xf numFmtId="165" fontId="19" fillId="0" borderId="9" xfId="3" applyNumberFormat="1" applyFont="1" applyBorder="1" applyAlignment="1">
      <alignment horizontal="center" vertical="center"/>
    </xf>
    <xf numFmtId="165" fontId="19" fillId="0" borderId="8" xfId="3" applyNumberFormat="1" applyFont="1" applyBorder="1" applyAlignment="1">
      <alignment horizontal="center" vertical="center"/>
    </xf>
    <xf numFmtId="0" fontId="0" fillId="0" borderId="1" xfId="3" applyFont="1" applyBorder="1" applyAlignment="1">
      <alignment horizontal="center"/>
    </xf>
    <xf numFmtId="0" fontId="1" fillId="0" borderId="2" xfId="3" applyBorder="1" applyAlignment="1">
      <alignment horizontal="center"/>
    </xf>
    <xf numFmtId="0" fontId="1" fillId="0" borderId="3" xfId="3" applyBorder="1" applyAlignment="1">
      <alignment horizontal="center"/>
    </xf>
    <xf numFmtId="0" fontId="19" fillId="0" borderId="1" xfId="3" applyFont="1" applyBorder="1" applyAlignment="1">
      <alignment horizontal="center"/>
    </xf>
    <xf numFmtId="0" fontId="19" fillId="0" borderId="2" xfId="3" applyFont="1" applyBorder="1" applyAlignment="1">
      <alignment horizontal="center"/>
    </xf>
    <xf numFmtId="0" fontId="19" fillId="0" borderId="3" xfId="3" applyFont="1" applyBorder="1" applyAlignment="1">
      <alignment horizontal="center"/>
    </xf>
    <xf numFmtId="0" fontId="56" fillId="0" borderId="10" xfId="0" applyFont="1" applyBorder="1" applyAlignment="1">
      <alignment horizontal="left" wrapText="1"/>
    </xf>
    <xf numFmtId="0" fontId="56" fillId="0" borderId="0" xfId="0" applyFont="1" applyBorder="1" applyAlignment="1">
      <alignment horizontal="left" wrapText="1"/>
    </xf>
    <xf numFmtId="0" fontId="56" fillId="0" borderId="11" xfId="0" applyFont="1" applyBorder="1" applyAlignment="1">
      <alignment horizontal="left" wrapText="1"/>
    </xf>
    <xf numFmtId="0" fontId="56" fillId="0" borderId="10" xfId="0" applyFont="1" applyBorder="1" applyAlignment="1">
      <alignment horizontal="left" vertical="center" wrapText="1"/>
    </xf>
    <xf numFmtId="0" fontId="56" fillId="0" borderId="0" xfId="0" applyFont="1" applyBorder="1" applyAlignment="1">
      <alignment horizontal="left" vertical="center" wrapText="1"/>
    </xf>
    <xf numFmtId="0" fontId="56" fillId="0" borderId="11" xfId="0" applyFont="1" applyBorder="1" applyAlignment="1">
      <alignment horizontal="left" vertical="center" wrapText="1"/>
    </xf>
    <xf numFmtId="0" fontId="56" fillId="0" borderId="5" xfId="0" applyFont="1" applyBorder="1" applyAlignment="1">
      <alignment horizontal="center" vertical="center" wrapText="1"/>
    </xf>
    <xf numFmtId="0" fontId="56" fillId="0" borderId="0" xfId="0" applyFont="1" applyAlignment="1">
      <alignment horizontal="center" vertical="center" wrapText="1"/>
    </xf>
    <xf numFmtId="0" fontId="56" fillId="0" borderId="15" xfId="0" applyFont="1" applyBorder="1" applyAlignment="1">
      <alignment horizontal="center"/>
    </xf>
    <xf numFmtId="0" fontId="27" fillId="0" borderId="14" xfId="0" applyFont="1" applyBorder="1" applyAlignment="1">
      <alignment horizontal="center"/>
    </xf>
    <xf numFmtId="0" fontId="27" fillId="0" borderId="15" xfId="0" applyFont="1" applyBorder="1" applyAlignment="1">
      <alignment horizontal="center"/>
    </xf>
    <xf numFmtId="0" fontId="27" fillId="0" borderId="16" xfId="0" applyFont="1" applyBorder="1" applyAlignment="1">
      <alignment horizontal="center"/>
    </xf>
    <xf numFmtId="0" fontId="27" fillId="0" borderId="10" xfId="0" applyFont="1" applyBorder="1" applyAlignment="1">
      <alignment horizontal="center"/>
    </xf>
    <xf numFmtId="0" fontId="27" fillId="0" borderId="0" xfId="0" applyFont="1" applyAlignment="1">
      <alignment horizontal="center"/>
    </xf>
    <xf numFmtId="10" fontId="27" fillId="8" borderId="0" xfId="1" applyNumberFormat="1" applyFont="1" applyFill="1" applyBorder="1" applyAlignment="1">
      <alignment horizontal="center"/>
    </xf>
    <xf numFmtId="0" fontId="30" fillId="10" borderId="7" xfId="0" applyFont="1" applyFill="1" applyBorder="1" applyAlignment="1">
      <alignment horizontal="center"/>
    </xf>
    <xf numFmtId="0" fontId="30" fillId="10" borderId="9" xfId="0" applyFont="1" applyFill="1" applyBorder="1" applyAlignment="1">
      <alignment horizontal="center"/>
    </xf>
    <xf numFmtId="10" fontId="30" fillId="10" borderId="9" xfId="1" applyNumberFormat="1" applyFont="1" applyFill="1" applyBorder="1" applyAlignment="1">
      <alignment horizontal="center"/>
    </xf>
    <xf numFmtId="0" fontId="27" fillId="0" borderId="5" xfId="0" applyFont="1" applyBorder="1" applyAlignment="1">
      <alignment horizontal="left" wrapText="1"/>
    </xf>
    <xf numFmtId="0" fontId="27" fillId="0" borderId="5" xfId="0" applyFont="1" applyBorder="1" applyAlignment="1">
      <alignment horizontal="left"/>
    </xf>
    <xf numFmtId="0" fontId="27" fillId="0" borderId="13" xfId="0" applyFont="1" applyBorder="1" applyAlignment="1">
      <alignment horizontal="left"/>
    </xf>
    <xf numFmtId="0" fontId="30" fillId="7" borderId="14" xfId="0" applyFont="1" applyFill="1" applyBorder="1" applyAlignment="1">
      <alignment horizontal="left"/>
    </xf>
    <xf numFmtId="0" fontId="30" fillId="7" borderId="15" xfId="0" applyFont="1" applyFill="1" applyBorder="1" applyAlignment="1">
      <alignment horizontal="left"/>
    </xf>
    <xf numFmtId="0" fontId="30" fillId="7" borderId="10" xfId="0" applyFont="1" applyFill="1" applyBorder="1" applyAlignment="1">
      <alignment horizontal="left"/>
    </xf>
    <xf numFmtId="0" fontId="30" fillId="7" borderId="0" xfId="0" applyFont="1" applyFill="1" applyAlignment="1">
      <alignment horizontal="left"/>
    </xf>
    <xf numFmtId="0" fontId="30" fillId="10" borderId="12" xfId="0" applyFont="1" applyFill="1" applyBorder="1" applyAlignment="1">
      <alignment horizontal="center"/>
    </xf>
    <xf numFmtId="0" fontId="30" fillId="10" borderId="5" xfId="0" applyFont="1" applyFill="1" applyBorder="1" applyAlignment="1">
      <alignment horizontal="center"/>
    </xf>
    <xf numFmtId="49" fontId="29" fillId="0" borderId="14" xfId="0" applyNumberFormat="1" applyFont="1" applyBorder="1" applyAlignment="1">
      <alignment horizontal="center" vertical="center" wrapText="1"/>
    </xf>
    <xf numFmtId="0" fontId="54" fillId="0" borderId="15" xfId="0" applyFont="1" applyBorder="1"/>
    <xf numFmtId="0" fontId="54" fillId="0" borderId="16" xfId="0" applyFont="1" applyBorder="1"/>
    <xf numFmtId="0" fontId="54" fillId="0" borderId="10" xfId="0" applyFont="1" applyBorder="1"/>
    <xf numFmtId="0" fontId="55" fillId="0" borderId="0" xfId="0" applyFont="1"/>
    <xf numFmtId="0" fontId="54" fillId="0" borderId="11" xfId="0" applyFont="1" applyBorder="1"/>
    <xf numFmtId="0" fontId="54" fillId="0" borderId="94" xfId="0" applyFont="1" applyBorder="1"/>
    <xf numFmtId="0" fontId="54" fillId="0" borderId="95" xfId="0" applyFont="1" applyBorder="1"/>
    <xf numFmtId="0" fontId="54" fillId="0" borderId="96" xfId="0" applyFont="1" applyBorder="1"/>
    <xf numFmtId="0" fontId="27" fillId="0" borderId="15" xfId="0" applyFont="1" applyBorder="1" applyAlignment="1">
      <alignment horizontal="left" vertical="center" wrapText="1"/>
    </xf>
    <xf numFmtId="0" fontId="27" fillId="0" borderId="16" xfId="0" applyFont="1" applyBorder="1" applyAlignment="1">
      <alignment horizontal="left" vertical="center" wrapText="1"/>
    </xf>
    <xf numFmtId="14" fontId="27" fillId="0" borderId="0" xfId="0" applyNumberFormat="1" applyFont="1" applyAlignment="1">
      <alignment horizontal="left" vertical="center" wrapText="1"/>
    </xf>
    <xf numFmtId="14" fontId="27" fillId="0" borderId="11" xfId="0" applyNumberFormat="1" applyFont="1" applyBorder="1" applyAlignment="1">
      <alignment horizontal="left" vertical="center" wrapText="1"/>
    </xf>
    <xf numFmtId="2" fontId="27" fillId="0" borderId="0" xfId="0" applyNumberFormat="1" applyFont="1" applyAlignment="1">
      <alignment horizontal="left" vertical="center" wrapText="1"/>
    </xf>
    <xf numFmtId="2" fontId="27" fillId="0" borderId="11" xfId="0" applyNumberFormat="1" applyFont="1" applyBorder="1" applyAlignment="1">
      <alignment horizontal="left" vertical="center" wrapText="1"/>
    </xf>
    <xf numFmtId="49" fontId="47" fillId="0" borderId="97" xfId="0" applyNumberFormat="1" applyFont="1" applyBorder="1" applyAlignment="1">
      <alignment horizontal="center" vertical="center"/>
    </xf>
    <xf numFmtId="49" fontId="47" fillId="0" borderId="98" xfId="0" applyNumberFormat="1" applyFont="1" applyBorder="1" applyAlignment="1">
      <alignment horizontal="center" vertical="center"/>
    </xf>
    <xf numFmtId="49" fontId="47" fillId="0" borderId="99" xfId="0" applyNumberFormat="1" applyFont="1" applyBorder="1" applyAlignment="1">
      <alignment horizontal="center" vertical="center"/>
    </xf>
    <xf numFmtId="0" fontId="53" fillId="0" borderId="1" xfId="3" applyFont="1" applyBorder="1" applyAlignment="1">
      <alignment horizontal="center" wrapText="1"/>
    </xf>
    <xf numFmtId="0" fontId="53" fillId="0" borderId="2" xfId="3" applyFont="1" applyBorder="1" applyAlignment="1">
      <alignment horizontal="center" wrapText="1"/>
    </xf>
    <xf numFmtId="0" fontId="53" fillId="0" borderId="3" xfId="3" applyFont="1" applyBorder="1" applyAlignment="1">
      <alignment horizontal="center" wrapText="1"/>
    </xf>
    <xf numFmtId="0" fontId="30" fillId="0" borderId="35" xfId="0" applyFont="1" applyBorder="1" applyAlignment="1">
      <alignment horizontal="center" vertical="center"/>
    </xf>
    <xf numFmtId="0" fontId="30" fillId="0" borderId="36" xfId="0" applyFont="1" applyBorder="1" applyAlignment="1">
      <alignment horizontal="center" vertical="center"/>
    </xf>
    <xf numFmtId="0" fontId="30" fillId="0" borderId="62" xfId="0" applyFont="1" applyBorder="1" applyAlignment="1">
      <alignment horizontal="center" vertical="center"/>
    </xf>
    <xf numFmtId="0" fontId="31" fillId="0" borderId="80" xfId="2" applyFont="1" applyBorder="1" applyAlignment="1">
      <alignment horizontal="center" vertical="center"/>
    </xf>
    <xf numFmtId="0" fontId="31" fillId="0" borderId="18" xfId="2" applyFont="1" applyBorder="1" applyAlignment="1">
      <alignment horizontal="center" vertical="center"/>
    </xf>
    <xf numFmtId="0" fontId="31" fillId="0" borderId="77" xfId="2" applyFont="1" applyBorder="1" applyAlignment="1">
      <alignment horizontal="center" vertical="center"/>
    </xf>
    <xf numFmtId="0" fontId="33" fillId="0" borderId="23" xfId="2" applyNumberFormat="1" applyFont="1" applyBorder="1" applyAlignment="1">
      <alignment horizontal="center" vertical="center"/>
    </xf>
    <xf numFmtId="0" fontId="33" fillId="0" borderId="26" xfId="2" applyNumberFormat="1" applyFont="1" applyBorder="1" applyAlignment="1">
      <alignment horizontal="center" vertical="center"/>
    </xf>
    <xf numFmtId="0" fontId="33" fillId="0" borderId="40" xfId="2" applyNumberFormat="1" applyFont="1" applyBorder="1" applyAlignment="1">
      <alignment horizontal="center" vertical="center"/>
    </xf>
    <xf numFmtId="0" fontId="27" fillId="0" borderId="24" xfId="0" applyFont="1" applyBorder="1" applyAlignment="1">
      <alignment horizontal="center" vertical="center"/>
    </xf>
    <xf numFmtId="0" fontId="27" fillId="0" borderId="6" xfId="0" applyFont="1" applyBorder="1" applyAlignment="1">
      <alignment horizontal="center" vertical="center"/>
    </xf>
    <xf numFmtId="0" fontId="27" fillId="0" borderId="31" xfId="0" applyFont="1" applyBorder="1" applyAlignment="1">
      <alignment horizontal="center" vertical="center"/>
    </xf>
    <xf numFmtId="2" fontId="31" fillId="0" borderId="41" xfId="2" applyNumberFormat="1" applyFont="1" applyBorder="1" applyAlignment="1">
      <alignment horizontal="center" vertical="center"/>
    </xf>
    <xf numFmtId="2" fontId="31" fillId="0" borderId="45" xfId="2" applyNumberFormat="1" applyFont="1" applyBorder="1" applyAlignment="1">
      <alignment horizontal="center" vertical="center"/>
    </xf>
    <xf numFmtId="2" fontId="31" fillId="0" borderId="47" xfId="2" applyNumberFormat="1" applyFont="1" applyBorder="1" applyAlignment="1">
      <alignment horizontal="center" vertical="center"/>
    </xf>
    <xf numFmtId="2" fontId="31" fillId="0" borderId="48" xfId="2" applyNumberFormat="1" applyFont="1" applyBorder="1" applyAlignment="1">
      <alignment horizontal="center" vertical="center"/>
    </xf>
    <xf numFmtId="0" fontId="33" fillId="0" borderId="64" xfId="2" applyFont="1" applyBorder="1" applyAlignment="1">
      <alignment horizontal="center" vertical="center"/>
    </xf>
    <xf numFmtId="0" fontId="33" fillId="0" borderId="26" xfId="2" applyFont="1" applyBorder="1" applyAlignment="1">
      <alignment horizontal="center" vertical="center"/>
    </xf>
    <xf numFmtId="0" fontId="33" fillId="0" borderId="40" xfId="2" applyFont="1" applyBorder="1" applyAlignment="1">
      <alignment horizontal="center" vertical="center"/>
    </xf>
    <xf numFmtId="0" fontId="27" fillId="0" borderId="37" xfId="0" applyFont="1" applyBorder="1" applyAlignment="1">
      <alignment horizontal="center" vertical="center"/>
    </xf>
    <xf numFmtId="2" fontId="31" fillId="0" borderId="59" xfId="2" applyNumberFormat="1" applyFont="1" applyBorder="1" applyAlignment="1">
      <alignment horizontal="center" vertical="center"/>
    </xf>
    <xf numFmtId="2" fontId="31" fillId="0" borderId="60" xfId="2" applyNumberFormat="1" applyFont="1" applyBorder="1" applyAlignment="1">
      <alignment horizontal="center" vertical="center"/>
    </xf>
    <xf numFmtId="2" fontId="31" fillId="0" borderId="72" xfId="2" applyNumberFormat="1" applyFont="1" applyBorder="1" applyAlignment="1">
      <alignment horizontal="center" vertical="center"/>
    </xf>
    <xf numFmtId="0" fontId="27" fillId="0" borderId="70" xfId="0" applyFont="1" applyBorder="1" applyAlignment="1">
      <alignment horizontal="center" vertical="center"/>
    </xf>
    <xf numFmtId="0" fontId="27" fillId="0" borderId="71" xfId="0" applyFont="1" applyBorder="1" applyAlignment="1">
      <alignment horizontal="center" vertical="center"/>
    </xf>
    <xf numFmtId="0" fontId="33" fillId="0" borderId="68" xfId="2" applyFont="1" applyBorder="1" applyAlignment="1">
      <alignment horizontal="center" vertical="center" wrapText="1"/>
    </xf>
    <xf numFmtId="0" fontId="33" fillId="0" borderId="69" xfId="2" applyFont="1" applyBorder="1" applyAlignment="1">
      <alignment horizontal="center" vertical="center" wrapText="1"/>
    </xf>
    <xf numFmtId="0" fontId="33" fillId="0" borderId="68" xfId="2" applyNumberFormat="1" applyFont="1" applyBorder="1" applyAlignment="1">
      <alignment horizontal="center" vertical="center"/>
    </xf>
    <xf numFmtId="0" fontId="33" fillId="0" borderId="73" xfId="2" applyNumberFormat="1" applyFont="1" applyBorder="1" applyAlignment="1">
      <alignment horizontal="center" vertical="center"/>
    </xf>
    <xf numFmtId="0" fontId="27" fillId="0" borderId="66" xfId="0" applyFont="1" applyBorder="1" applyAlignment="1">
      <alignment horizontal="center" vertical="center"/>
    </xf>
    <xf numFmtId="0" fontId="53" fillId="7" borderId="1" xfId="3" applyFont="1" applyFill="1" applyBorder="1" applyAlignment="1">
      <alignment horizontal="center" vertical="center" wrapText="1"/>
    </xf>
    <xf numFmtId="0" fontId="53" fillId="7" borderId="2" xfId="3" applyFont="1" applyFill="1" applyBorder="1" applyAlignment="1">
      <alignment horizontal="center" vertical="center" wrapText="1"/>
    </xf>
    <xf numFmtId="0" fontId="53" fillId="7" borderId="3" xfId="3" applyFont="1" applyFill="1" applyBorder="1" applyAlignment="1">
      <alignment horizontal="center" vertical="center" wrapText="1"/>
    </xf>
    <xf numFmtId="0" fontId="35" fillId="0" borderId="64" xfId="2" applyFont="1" applyBorder="1" applyAlignment="1">
      <alignment horizontal="center" vertical="center"/>
    </xf>
    <xf numFmtId="0" fontId="35" fillId="0" borderId="37" xfId="2" applyFont="1" applyBorder="1" applyAlignment="1">
      <alignment horizontal="center" vertical="center"/>
    </xf>
    <xf numFmtId="0" fontId="35" fillId="0" borderId="26" xfId="2" applyFont="1" applyBorder="1" applyAlignment="1">
      <alignment horizontal="center" vertical="center"/>
    </xf>
    <xf numFmtId="0" fontId="35" fillId="0" borderId="6" xfId="2" applyFont="1" applyBorder="1" applyAlignment="1">
      <alignment horizontal="center" vertical="center"/>
    </xf>
    <xf numFmtId="0" fontId="33" fillId="0" borderId="17" xfId="2" applyFont="1" applyBorder="1" applyAlignment="1">
      <alignment horizontal="center"/>
    </xf>
    <xf numFmtId="0" fontId="33" fillId="0" borderId="18" xfId="2" applyFont="1" applyBorder="1" applyAlignment="1">
      <alignment horizontal="center"/>
    </xf>
    <xf numFmtId="0" fontId="33" fillId="0" borderId="20" xfId="2" applyFont="1" applyBorder="1" applyAlignment="1">
      <alignment horizontal="center"/>
    </xf>
    <xf numFmtId="0" fontId="33" fillId="0" borderId="21" xfId="2" applyFont="1" applyBorder="1" applyAlignment="1">
      <alignment horizontal="center"/>
    </xf>
    <xf numFmtId="0" fontId="33" fillId="0" borderId="22" xfId="2" applyFont="1" applyBorder="1" applyAlignment="1">
      <alignment horizontal="center"/>
    </xf>
    <xf numFmtId="0" fontId="30" fillId="0" borderId="40" xfId="0" applyFont="1" applyBorder="1" applyAlignment="1">
      <alignment horizontal="right" vertical="center" indent="1"/>
    </xf>
    <xf numFmtId="0" fontId="30" fillId="0" borderId="31" xfId="0" applyFont="1" applyBorder="1" applyAlignment="1">
      <alignment horizontal="right" vertical="center" indent="1"/>
    </xf>
    <xf numFmtId="0" fontId="53" fillId="7" borderId="1" xfId="3" applyFont="1" applyFill="1" applyBorder="1" applyAlignment="1">
      <alignment horizontal="center" wrapText="1"/>
    </xf>
    <xf numFmtId="0" fontId="53" fillId="7" borderId="2" xfId="3" applyFont="1" applyFill="1" applyBorder="1" applyAlignment="1">
      <alignment horizontal="center" wrapText="1"/>
    </xf>
    <xf numFmtId="0" fontId="53" fillId="7" borderId="3" xfId="3" applyFont="1" applyFill="1" applyBorder="1" applyAlignment="1">
      <alignment horizontal="center" wrapText="1"/>
    </xf>
    <xf numFmtId="0" fontId="30" fillId="0" borderId="26" xfId="0" applyFont="1" applyBorder="1" applyAlignment="1">
      <alignment horizontal="right" vertical="center" indent="1"/>
    </xf>
    <xf numFmtId="0" fontId="30" fillId="0" borderId="6" xfId="0" applyFont="1" applyBorder="1" applyAlignment="1">
      <alignment horizontal="right" vertical="center" indent="1"/>
    </xf>
    <xf numFmtId="0" fontId="35" fillId="0" borderId="7" xfId="2" applyFont="1" applyBorder="1" applyAlignment="1">
      <alignment horizontal="center" vertical="center"/>
    </xf>
    <xf numFmtId="0" fontId="35" fillId="0" borderId="9" xfId="2" applyFont="1" applyBorder="1" applyAlignment="1">
      <alignment horizontal="center" vertical="center"/>
    </xf>
    <xf numFmtId="0" fontId="35" fillId="0" borderId="45" xfId="2" applyFont="1" applyBorder="1" applyAlignment="1">
      <alignment horizontal="center" vertical="center"/>
    </xf>
    <xf numFmtId="0" fontId="43" fillId="0" borderId="7" xfId="2" applyFont="1" applyBorder="1" applyAlignment="1">
      <alignment horizontal="center" vertical="center"/>
    </xf>
    <xf numFmtId="0" fontId="43" fillId="0" borderId="9" xfId="2" applyFont="1" applyBorder="1" applyAlignment="1">
      <alignment horizontal="center" vertical="center"/>
    </xf>
    <xf numFmtId="0" fontId="43" fillId="0" borderId="45" xfId="2" applyFont="1" applyBorder="1" applyAlignment="1">
      <alignment horizontal="center" vertical="center"/>
    </xf>
    <xf numFmtId="0" fontId="44" fillId="0" borderId="7" xfId="2" applyFont="1" applyBorder="1" applyAlignment="1">
      <alignment horizontal="center" vertical="center"/>
    </xf>
    <xf numFmtId="0" fontId="44" fillId="0" borderId="9" xfId="2" applyFont="1" applyBorder="1" applyAlignment="1">
      <alignment horizontal="center" vertical="center"/>
    </xf>
    <xf numFmtId="0" fontId="44" fillId="0" borderId="45" xfId="2" applyFont="1" applyBorder="1" applyAlignment="1">
      <alignment horizontal="center" vertical="center"/>
    </xf>
    <xf numFmtId="0" fontId="35" fillId="0" borderId="46" xfId="2" applyFont="1" applyBorder="1" applyAlignment="1">
      <alignment horizontal="center" vertical="center"/>
    </xf>
    <xf numFmtId="0" fontId="35" fillId="0" borderId="15" xfId="2" applyFont="1" applyBorder="1" applyAlignment="1">
      <alignment horizontal="center" vertical="center"/>
    </xf>
    <xf numFmtId="0" fontId="35" fillId="0" borderId="47" xfId="2" applyFont="1" applyBorder="1" applyAlignment="1">
      <alignment horizontal="center" vertical="center"/>
    </xf>
    <xf numFmtId="0" fontId="32" fillId="0" borderId="33" xfId="2" applyFont="1" applyBorder="1" applyAlignment="1">
      <alignment horizontal="center" vertical="center"/>
    </xf>
    <xf numFmtId="0" fontId="32" fillId="0" borderId="9" xfId="2" applyFont="1" applyBorder="1" applyAlignment="1">
      <alignment horizontal="center" vertical="center"/>
    </xf>
    <xf numFmtId="0" fontId="32" fillId="0" borderId="45" xfId="2" applyFont="1" applyBorder="1" applyAlignment="1">
      <alignment horizontal="center" vertical="center"/>
    </xf>
    <xf numFmtId="0" fontId="43" fillId="0" borderId="7" xfId="2" applyFont="1" applyBorder="1" applyAlignment="1">
      <alignment horizontal="center" vertical="center" wrapText="1"/>
    </xf>
    <xf numFmtId="0" fontId="43" fillId="0" borderId="9" xfId="2" applyFont="1" applyBorder="1" applyAlignment="1">
      <alignment horizontal="center" vertical="center" wrapText="1"/>
    </xf>
    <xf numFmtId="0" fontId="43" fillId="0" borderId="45" xfId="2" applyFont="1" applyBorder="1" applyAlignment="1">
      <alignment horizontal="center" vertical="center" wrapText="1"/>
    </xf>
    <xf numFmtId="0" fontId="53" fillId="7" borderId="17" xfId="3" applyFont="1" applyFill="1" applyBorder="1" applyAlignment="1">
      <alignment horizontal="center" vertical="center" wrapText="1"/>
    </xf>
    <xf numFmtId="0" fontId="53" fillId="7" borderId="18" xfId="3" applyFont="1" applyFill="1" applyBorder="1" applyAlignment="1">
      <alignment horizontal="center" vertical="center" wrapText="1"/>
    </xf>
    <xf numFmtId="0" fontId="53" fillId="7" borderId="19" xfId="3" applyFont="1" applyFill="1" applyBorder="1" applyAlignment="1">
      <alignment horizontal="center" vertical="center" wrapText="1"/>
    </xf>
    <xf numFmtId="0" fontId="35" fillId="0" borderId="55" xfId="2" applyFont="1" applyBorder="1" applyAlignment="1">
      <alignment horizontal="center" vertical="center" wrapText="1"/>
    </xf>
    <xf numFmtId="0" fontId="35" fillId="0" borderId="53" xfId="2" applyFont="1" applyBorder="1" applyAlignment="1">
      <alignment horizontal="center" vertical="center" wrapText="1"/>
    </xf>
    <xf numFmtId="0" fontId="35" fillId="0" borderId="41" xfId="2" applyFont="1" applyBorder="1" applyAlignment="1">
      <alignment horizontal="center" vertical="center" wrapText="1"/>
    </xf>
    <xf numFmtId="0" fontId="35" fillId="0" borderId="7" xfId="2" applyFont="1" applyBorder="1" applyAlignment="1">
      <alignment horizontal="center" vertical="center" wrapText="1"/>
    </xf>
    <xf numFmtId="0" fontId="35" fillId="0" borderId="9" xfId="2" applyFont="1" applyBorder="1" applyAlignment="1">
      <alignment horizontal="center" vertical="center" wrapText="1"/>
    </xf>
    <xf numFmtId="0" fontId="35" fillId="0" borderId="45" xfId="2" applyFont="1" applyBorder="1" applyAlignment="1">
      <alignment horizontal="center" vertical="center" wrapText="1"/>
    </xf>
    <xf numFmtId="0" fontId="32" fillId="7" borderId="35" xfId="3" applyFont="1" applyFill="1" applyBorder="1" applyAlignment="1">
      <alignment horizontal="center" vertical="center" wrapText="1"/>
    </xf>
    <xf numFmtId="0" fontId="32" fillId="7" borderId="36" xfId="3" applyFont="1" applyFill="1" applyBorder="1" applyAlignment="1">
      <alignment horizontal="center" vertical="center" wrapText="1"/>
    </xf>
    <xf numFmtId="0" fontId="32" fillId="7" borderId="49" xfId="3" applyFont="1" applyFill="1" applyBorder="1" applyAlignment="1">
      <alignment horizontal="center" vertical="center" wrapText="1"/>
    </xf>
    <xf numFmtId="0" fontId="43" fillId="0" borderId="52" xfId="0" applyFont="1" applyBorder="1" applyAlignment="1">
      <alignment horizontal="center" vertical="center"/>
    </xf>
    <xf numFmtId="0" fontId="43" fillId="0" borderId="29" xfId="0" applyFont="1" applyBorder="1" applyAlignment="1">
      <alignment horizontal="center" vertical="center"/>
    </xf>
    <xf numFmtId="0" fontId="43" fillId="0" borderId="48" xfId="0" applyFont="1" applyBorder="1" applyAlignment="1">
      <alignment horizontal="center" vertical="center"/>
    </xf>
    <xf numFmtId="0" fontId="43" fillId="0" borderId="40" xfId="2" applyFont="1" applyBorder="1" applyAlignment="1">
      <alignment horizontal="center" vertical="center"/>
    </xf>
    <xf numFmtId="0" fontId="43" fillId="0" borderId="31" xfId="2" applyFont="1" applyBorder="1" applyAlignment="1">
      <alignment horizontal="center" vertical="center"/>
    </xf>
    <xf numFmtId="0" fontId="59" fillId="0" borderId="20" xfId="0" applyFont="1" applyBorder="1" applyAlignment="1">
      <alignment horizontal="center" vertical="center"/>
    </xf>
    <xf numFmtId="0" fontId="59" fillId="0" borderId="21" xfId="0" applyFont="1" applyBorder="1" applyAlignment="1">
      <alignment horizontal="center" vertical="center"/>
    </xf>
    <xf numFmtId="0" fontId="59" fillId="0" borderId="22" xfId="0" applyFont="1" applyBorder="1" applyAlignment="1">
      <alignment horizontal="center" vertical="center"/>
    </xf>
    <xf numFmtId="1" fontId="30" fillId="0" borderId="1" xfId="0" applyNumberFormat="1" applyFont="1" applyBorder="1" applyAlignment="1">
      <alignment horizontal="right" vertical="center" wrapText="1"/>
    </xf>
    <xf numFmtId="1" fontId="30" fillId="0" borderId="2" xfId="0" applyNumberFormat="1" applyFont="1" applyBorder="1" applyAlignment="1">
      <alignment horizontal="right" vertical="center" wrapText="1"/>
    </xf>
    <xf numFmtId="0" fontId="35" fillId="0" borderId="33" xfId="2" applyFont="1" applyBorder="1" applyAlignment="1">
      <alignment horizontal="center" vertical="center"/>
    </xf>
    <xf numFmtId="0" fontId="35" fillId="0" borderId="8" xfId="2" applyFont="1" applyBorder="1" applyAlignment="1">
      <alignment horizontal="center" vertical="center"/>
    </xf>
    <xf numFmtId="0" fontId="43" fillId="0" borderId="28" xfId="2" applyFont="1" applyBorder="1" applyAlignment="1">
      <alignment horizontal="center" vertical="center"/>
    </xf>
    <xf numFmtId="0" fontId="43" fillId="0" borderId="29" xfId="2" applyFont="1" applyBorder="1" applyAlignment="1">
      <alignment horizontal="center" vertical="center"/>
    </xf>
    <xf numFmtId="0" fontId="43" fillId="0" borderId="30" xfId="2" applyFont="1" applyBorder="1" applyAlignment="1">
      <alignment horizontal="center" vertical="center"/>
    </xf>
    <xf numFmtId="0" fontId="32" fillId="0" borderId="20" xfId="3" applyFont="1" applyBorder="1" applyAlignment="1">
      <alignment horizontal="center" vertical="center" wrapText="1"/>
    </xf>
    <xf numFmtId="0" fontId="32" fillId="0" borderId="21" xfId="3" applyFont="1" applyBorder="1" applyAlignment="1">
      <alignment horizontal="center" vertical="center" wrapText="1"/>
    </xf>
    <xf numFmtId="0" fontId="32" fillId="0" borderId="92" xfId="3" applyFont="1" applyBorder="1" applyAlignment="1">
      <alignment horizontal="center" vertical="center" wrapText="1"/>
    </xf>
    <xf numFmtId="0" fontId="32" fillId="0" borderId="66" xfId="3" applyFont="1" applyBorder="1" applyAlignment="1">
      <alignment horizontal="center" vertical="center" wrapText="1"/>
    </xf>
    <xf numFmtId="0" fontId="32" fillId="0" borderId="67" xfId="3" applyFont="1" applyBorder="1" applyAlignment="1">
      <alignment horizontal="center" vertical="center" wrapText="1"/>
    </xf>
    <xf numFmtId="0" fontId="35" fillId="0" borderId="34" xfId="2" applyFont="1" applyBorder="1" applyAlignment="1">
      <alignment horizontal="center" vertical="center"/>
    </xf>
    <xf numFmtId="0" fontId="35" fillId="0" borderId="53" xfId="2" applyFont="1" applyBorder="1" applyAlignment="1">
      <alignment horizontal="center" vertical="center"/>
    </xf>
    <xf numFmtId="0" fontId="35" fillId="0" borderId="61" xfId="2" applyFont="1" applyBorder="1" applyAlignment="1">
      <alignment horizontal="center" vertical="center"/>
    </xf>
    <xf numFmtId="0" fontId="35" fillId="0" borderId="55" xfId="2" applyFont="1" applyBorder="1" applyAlignment="1">
      <alignment horizontal="center" vertical="center"/>
    </xf>
    <xf numFmtId="0" fontId="35" fillId="0" borderId="41" xfId="2" applyFont="1" applyBorder="1" applyAlignment="1">
      <alignment horizontal="center" vertical="center"/>
    </xf>
    <xf numFmtId="0" fontId="33" fillId="0" borderId="0" xfId="2" applyFont="1" applyBorder="1" applyAlignment="1">
      <alignment horizontal="center"/>
    </xf>
    <xf numFmtId="0" fontId="34" fillId="8" borderId="1" xfId="3" applyFont="1" applyFill="1" applyBorder="1" applyAlignment="1">
      <alignment horizontal="center" vertical="center" wrapText="1"/>
    </xf>
    <xf numFmtId="0" fontId="34" fillId="8" borderId="2" xfId="3" applyFont="1" applyFill="1" applyBorder="1" applyAlignment="1">
      <alignment horizontal="center" vertical="center" wrapText="1"/>
    </xf>
    <xf numFmtId="0" fontId="34" fillId="8" borderId="3" xfId="3" applyFont="1" applyFill="1" applyBorder="1" applyAlignment="1">
      <alignment horizontal="center" vertical="center" wrapText="1"/>
    </xf>
    <xf numFmtId="0" fontId="31" fillId="10" borderId="21" xfId="3" applyFont="1" applyFill="1" applyBorder="1" applyAlignment="1">
      <alignment horizontal="center" vertical="center" wrapText="1"/>
    </xf>
    <xf numFmtId="2" fontId="27" fillId="10" borderId="88" xfId="0" applyNumberFormat="1" applyFont="1" applyFill="1" applyBorder="1" applyAlignment="1">
      <alignment horizontal="center" vertical="center"/>
    </xf>
    <xf numFmtId="2" fontId="27" fillId="10" borderId="82" xfId="0" applyNumberFormat="1" applyFont="1" applyFill="1" applyBorder="1" applyAlignment="1">
      <alignment horizontal="center" vertical="center"/>
    </xf>
    <xf numFmtId="2" fontId="27" fillId="10" borderId="85" xfId="0" applyNumberFormat="1" applyFont="1" applyFill="1" applyBorder="1" applyAlignment="1">
      <alignment horizontal="center" vertical="center"/>
    </xf>
    <xf numFmtId="2" fontId="27" fillId="4" borderId="88" xfId="0" applyNumberFormat="1" applyFont="1" applyFill="1" applyBorder="1" applyAlignment="1">
      <alignment horizontal="center" vertical="center"/>
    </xf>
    <xf numFmtId="2" fontId="27" fillId="4" borderId="85" xfId="0" applyNumberFormat="1" applyFont="1" applyFill="1" applyBorder="1" applyAlignment="1">
      <alignment horizontal="center" vertical="center"/>
    </xf>
    <xf numFmtId="2" fontId="27" fillId="10" borderId="87" xfId="0" applyNumberFormat="1" applyFont="1" applyFill="1" applyBorder="1" applyAlignment="1">
      <alignment horizontal="center" vertical="center" wrapText="1"/>
    </xf>
    <xf numFmtId="2" fontId="27" fillId="10" borderId="54" xfId="0" applyNumberFormat="1" applyFont="1" applyFill="1" applyBorder="1" applyAlignment="1">
      <alignment horizontal="center" vertical="center" wrapText="1"/>
    </xf>
    <xf numFmtId="2" fontId="27" fillId="10" borderId="84" xfId="0" applyNumberFormat="1" applyFont="1" applyFill="1" applyBorder="1" applyAlignment="1">
      <alignment horizontal="center" vertical="center" wrapText="1"/>
    </xf>
    <xf numFmtId="2" fontId="27" fillId="4" borderId="87" xfId="0" applyNumberFormat="1" applyFont="1" applyFill="1" applyBorder="1" applyAlignment="1">
      <alignment horizontal="center" vertical="center" wrapText="1"/>
    </xf>
    <xf numFmtId="2" fontId="27" fillId="4" borderId="84" xfId="0" applyNumberFormat="1" applyFont="1" applyFill="1" applyBorder="1" applyAlignment="1">
      <alignment horizontal="center" vertical="center" wrapText="1"/>
    </xf>
    <xf numFmtId="164" fontId="27" fillId="10" borderId="87" xfId="0" applyNumberFormat="1" applyFont="1" applyFill="1" applyBorder="1" applyAlignment="1">
      <alignment horizontal="center" vertical="center"/>
    </xf>
    <xf numFmtId="164" fontId="27" fillId="10" borderId="84" xfId="0" applyNumberFormat="1" applyFont="1" applyFill="1" applyBorder="1" applyAlignment="1">
      <alignment horizontal="center" vertical="center"/>
    </xf>
    <xf numFmtId="0" fontId="27" fillId="10" borderId="87" xfId="0" applyFont="1" applyFill="1" applyBorder="1" applyAlignment="1">
      <alignment horizontal="center" vertical="center"/>
    </xf>
    <xf numFmtId="0" fontId="27" fillId="10" borderId="54" xfId="0" applyFont="1" applyFill="1" applyBorder="1" applyAlignment="1">
      <alignment horizontal="center" vertical="center"/>
    </xf>
    <xf numFmtId="0" fontId="27" fillId="10" borderId="84" xfId="0" applyFont="1" applyFill="1" applyBorder="1" applyAlignment="1">
      <alignment horizontal="center" vertical="center"/>
    </xf>
    <xf numFmtId="164" fontId="27" fillId="4" borderId="87" xfId="0" applyNumberFormat="1" applyFont="1" applyFill="1" applyBorder="1" applyAlignment="1">
      <alignment horizontal="center" vertical="center"/>
    </xf>
    <xf numFmtId="164" fontId="27" fillId="4" borderId="84" xfId="0" applyNumberFormat="1" applyFont="1" applyFill="1" applyBorder="1" applyAlignment="1">
      <alignment horizontal="center" vertical="center"/>
    </xf>
    <xf numFmtId="0" fontId="0" fillId="0" borderId="46" xfId="0" applyBorder="1" applyAlignment="1">
      <alignment horizontal="center" vertical="center" wrapText="1"/>
    </xf>
    <xf numFmtId="0" fontId="0" fillId="0" borderId="15" xfId="0" applyBorder="1" applyAlignment="1">
      <alignment horizontal="center" vertical="center" wrapText="1"/>
    </xf>
    <xf numFmtId="0" fontId="0" fillId="0" borderId="47" xfId="0" applyBorder="1" applyAlignment="1">
      <alignment horizontal="center" vertical="center" wrapText="1"/>
    </xf>
    <xf numFmtId="0" fontId="0" fillId="0" borderId="42" xfId="0" applyBorder="1" applyAlignment="1">
      <alignment horizontal="center" vertical="center" wrapText="1"/>
    </xf>
    <xf numFmtId="0" fontId="0" fillId="0" borderId="0" xfId="0" applyBorder="1" applyAlignment="1">
      <alignment horizontal="center" vertical="center" wrapText="1"/>
    </xf>
    <xf numFmtId="0" fontId="0" fillId="0" borderId="39" xfId="0" applyBorder="1" applyAlignment="1">
      <alignment horizontal="center" vertical="center" wrapText="1"/>
    </xf>
    <xf numFmtId="0" fontId="0" fillId="0" borderId="121" xfId="0" applyBorder="1" applyAlignment="1">
      <alignment horizontal="center" vertical="center" wrapText="1"/>
    </xf>
    <xf numFmtId="0" fontId="0" fillId="0" borderId="122" xfId="0" applyBorder="1" applyAlignment="1">
      <alignment horizontal="center" vertical="center" wrapText="1"/>
    </xf>
    <xf numFmtId="0" fontId="0" fillId="0" borderId="123" xfId="0" applyBorder="1" applyAlignment="1">
      <alignment horizontal="center" vertical="center" wrapText="1"/>
    </xf>
    <xf numFmtId="0" fontId="19" fillId="0" borderId="1" xfId="0" applyFont="1" applyBorder="1" applyAlignment="1">
      <alignment horizontal="center"/>
    </xf>
    <xf numFmtId="0" fontId="19" fillId="0" borderId="2" xfId="0" applyFont="1" applyBorder="1" applyAlignment="1">
      <alignment horizontal="center"/>
    </xf>
    <xf numFmtId="0" fontId="19" fillId="0" borderId="3" xfId="0" applyFont="1" applyBorder="1" applyAlignment="1">
      <alignment horizontal="center"/>
    </xf>
    <xf numFmtId="0" fontId="19" fillId="0" borderId="35" xfId="0" applyFont="1" applyBorder="1" applyAlignment="1">
      <alignment horizontal="center" vertical="center"/>
    </xf>
    <xf numFmtId="0" fontId="19" fillId="0" borderId="36" xfId="0" applyFont="1" applyBorder="1" applyAlignment="1">
      <alignment horizontal="center" vertical="center"/>
    </xf>
    <xf numFmtId="0" fontId="19" fillId="0" borderId="49" xfId="0" applyFont="1" applyBorder="1" applyAlignment="1">
      <alignment horizontal="center" vertical="center"/>
    </xf>
    <xf numFmtId="165" fontId="19" fillId="0" borderId="35" xfId="0" applyNumberFormat="1" applyFont="1" applyBorder="1" applyAlignment="1">
      <alignment horizontal="center" vertical="center"/>
    </xf>
    <xf numFmtId="165" fontId="19" fillId="0" borderId="36" xfId="0" applyNumberFormat="1" applyFont="1" applyBorder="1" applyAlignment="1">
      <alignment horizontal="center" vertical="center"/>
    </xf>
    <xf numFmtId="165" fontId="19" fillId="0" borderId="49" xfId="0" applyNumberFormat="1" applyFont="1" applyBorder="1" applyAlignment="1">
      <alignment horizontal="center" vertical="center"/>
    </xf>
    <xf numFmtId="0" fontId="27" fillId="0" borderId="6" xfId="0" applyFont="1" applyBorder="1" applyAlignment="1">
      <alignment horizontal="center" vertical="center" wrapText="1"/>
    </xf>
    <xf numFmtId="0" fontId="27" fillId="0" borderId="51" xfId="0" applyFont="1" applyBorder="1" applyAlignment="1">
      <alignment horizontal="center" vertical="center"/>
    </xf>
    <xf numFmtId="0" fontId="27" fillId="0" borderId="65" xfId="0" applyFont="1" applyBorder="1" applyAlignment="1">
      <alignment horizontal="center" vertical="center"/>
    </xf>
    <xf numFmtId="0" fontId="27" fillId="0" borderId="27" xfId="0" applyFont="1" applyBorder="1" applyAlignment="1">
      <alignment horizontal="center" vertical="center"/>
    </xf>
    <xf numFmtId="0" fontId="29" fillId="11" borderId="17" xfId="0" applyFont="1" applyFill="1" applyBorder="1" applyAlignment="1">
      <alignment horizontal="center" vertical="center"/>
    </xf>
    <xf numFmtId="0" fontId="29" fillId="11" borderId="18" xfId="0" applyFont="1" applyFill="1" applyBorder="1" applyAlignment="1">
      <alignment horizontal="center" vertical="center"/>
    </xf>
    <xf numFmtId="0" fontId="29" fillId="11" borderId="20" xfId="0" applyFont="1" applyFill="1" applyBorder="1" applyAlignment="1">
      <alignment horizontal="center" vertical="center"/>
    </xf>
    <xf numFmtId="0" fontId="29" fillId="11" borderId="21" xfId="0" applyFont="1" applyFill="1" applyBorder="1" applyAlignment="1">
      <alignment horizontal="center" vertical="center"/>
    </xf>
    <xf numFmtId="0" fontId="30" fillId="0" borderId="38" xfId="0" applyFont="1" applyBorder="1" applyAlignment="1">
      <alignment horizontal="center" vertical="center"/>
    </xf>
    <xf numFmtId="0" fontId="30" fillId="0" borderId="71" xfId="0" applyFont="1" applyBorder="1" applyAlignment="1">
      <alignment horizontal="center" vertical="center"/>
    </xf>
    <xf numFmtId="0" fontId="30" fillId="0" borderId="37" xfId="0" applyFont="1" applyBorder="1" applyAlignment="1">
      <alignment horizontal="center" vertical="center"/>
    </xf>
    <xf numFmtId="0" fontId="27" fillId="0" borderId="14" xfId="0" applyFont="1" applyBorder="1" applyAlignment="1">
      <alignment horizontal="center" vertical="center" wrapText="1"/>
    </xf>
    <xf numFmtId="0" fontId="27" fillId="0" borderId="12" xfId="0" applyFont="1" applyBorder="1" applyAlignment="1">
      <alignment horizontal="center" vertical="center" wrapText="1"/>
    </xf>
    <xf numFmtId="0" fontId="27" fillId="10" borderId="38" xfId="0" applyFont="1" applyFill="1" applyBorder="1" applyAlignment="1">
      <alignment horizontal="center" vertical="center"/>
    </xf>
    <xf numFmtId="0" fontId="27" fillId="10" borderId="37" xfId="0" applyFont="1" applyFill="1" applyBorder="1" applyAlignment="1">
      <alignment horizontal="center" vertical="center"/>
    </xf>
    <xf numFmtId="0" fontId="27" fillId="0" borderId="38" xfId="0" applyFont="1" applyBorder="1" applyAlignment="1">
      <alignment horizontal="center" vertical="center" wrapText="1"/>
    </xf>
    <xf numFmtId="0" fontId="27" fillId="0" borderId="37" xfId="0" applyFont="1" applyBorder="1" applyAlignment="1">
      <alignment horizontal="center" vertical="center" wrapText="1"/>
    </xf>
    <xf numFmtId="44" fontId="27" fillId="10" borderId="38" xfId="0" applyNumberFormat="1" applyFont="1" applyFill="1" applyBorder="1" applyAlignment="1">
      <alignment horizontal="center" vertical="center"/>
    </xf>
    <xf numFmtId="44" fontId="27" fillId="10" borderId="37" xfId="0" applyNumberFormat="1" applyFont="1" applyFill="1" applyBorder="1" applyAlignment="1">
      <alignment horizontal="center" vertical="center"/>
    </xf>
    <xf numFmtId="0" fontId="30" fillId="0" borderId="100" xfId="0" applyFont="1" applyBorder="1" applyAlignment="1">
      <alignment horizontal="center" vertical="center"/>
    </xf>
    <xf numFmtId="0" fontId="30" fillId="0" borderId="1" xfId="0" applyFont="1" applyBorder="1" applyAlignment="1">
      <alignment horizontal="center" vertical="center"/>
    </xf>
    <xf numFmtId="0" fontId="30" fillId="0" borderId="2" xfId="0" applyFont="1" applyBorder="1" applyAlignment="1">
      <alignment horizontal="center" vertical="center"/>
    </xf>
    <xf numFmtId="0" fontId="30" fillId="0" borderId="3" xfId="0" applyFont="1" applyBorder="1" applyAlignment="1">
      <alignment horizontal="center" vertical="center"/>
    </xf>
    <xf numFmtId="0" fontId="23" fillId="0" borderId="46" xfId="37" applyBorder="1" applyAlignment="1">
      <alignment horizontal="center" vertical="center" wrapText="1"/>
    </xf>
    <xf numFmtId="0" fontId="23" fillId="0" borderId="15" xfId="37" applyBorder="1" applyAlignment="1">
      <alignment horizontal="center" vertical="center" wrapText="1"/>
    </xf>
    <xf numFmtId="0" fontId="23" fillId="0" borderId="47" xfId="37" applyBorder="1" applyAlignment="1">
      <alignment horizontal="center" vertical="center" wrapText="1"/>
    </xf>
    <xf numFmtId="0" fontId="23" fillId="0" borderId="42" xfId="37" applyBorder="1" applyAlignment="1">
      <alignment horizontal="center" vertical="center" wrapText="1"/>
    </xf>
    <xf numFmtId="0" fontId="23" fillId="0" borderId="0" xfId="37" applyBorder="1" applyAlignment="1">
      <alignment horizontal="center" vertical="center" wrapText="1"/>
    </xf>
    <xf numFmtId="0" fontId="23" fillId="0" borderId="39" xfId="37" applyBorder="1" applyAlignment="1">
      <alignment horizontal="center" vertical="center" wrapText="1"/>
    </xf>
    <xf numFmtId="0" fontId="23" fillId="0" borderId="121" xfId="37" applyBorder="1" applyAlignment="1">
      <alignment horizontal="center" vertical="center" wrapText="1"/>
    </xf>
    <xf numFmtId="0" fontId="23" fillId="0" borderId="122" xfId="37" applyBorder="1" applyAlignment="1">
      <alignment horizontal="center" vertical="center" wrapText="1"/>
    </xf>
    <xf numFmtId="0" fontId="23" fillId="0" borderId="123" xfId="37" applyBorder="1" applyAlignment="1">
      <alignment horizontal="center" vertical="center" wrapText="1"/>
    </xf>
    <xf numFmtId="0" fontId="30" fillId="0" borderId="24" xfId="0" applyFont="1" applyBorder="1" applyAlignment="1">
      <alignment horizontal="center" vertical="center" wrapText="1"/>
    </xf>
    <xf numFmtId="0" fontId="30" fillId="0" borderId="6" xfId="0" applyFont="1" applyBorder="1" applyAlignment="1">
      <alignment horizontal="center" vertical="center" wrapText="1"/>
    </xf>
    <xf numFmtId="0" fontId="27" fillId="0" borderId="24" xfId="0" applyFont="1" applyBorder="1" applyAlignment="1">
      <alignment horizontal="center" vertical="center" wrapText="1"/>
    </xf>
    <xf numFmtId="0" fontId="27" fillId="0" borderId="27" xfId="0" applyFont="1" applyBorder="1" applyAlignment="1">
      <alignment horizontal="center" vertical="center" wrapText="1"/>
    </xf>
    <xf numFmtId="9" fontId="33" fillId="0" borderId="51" xfId="0" applyNumberFormat="1" applyFont="1" applyBorder="1" applyAlignment="1">
      <alignment horizontal="center" vertical="center" wrapText="1"/>
    </xf>
    <xf numFmtId="0" fontId="33" fillId="0" borderId="65" xfId="0" applyFont="1" applyBorder="1" applyAlignment="1">
      <alignment horizontal="center" vertical="center" wrapText="1"/>
    </xf>
    <xf numFmtId="0" fontId="27" fillId="0" borderId="14" xfId="0" applyFont="1" applyBorder="1" applyAlignment="1">
      <alignment horizontal="center" vertical="center"/>
    </xf>
    <xf numFmtId="0" fontId="27" fillId="0" borderId="16" xfId="0" applyFont="1" applyBorder="1" applyAlignment="1">
      <alignment horizontal="center" vertical="center"/>
    </xf>
    <xf numFmtId="0" fontId="30" fillId="0" borderId="38" xfId="0" applyFont="1" applyBorder="1" applyAlignment="1">
      <alignment horizontal="center" vertical="center" wrapText="1"/>
    </xf>
    <xf numFmtId="0" fontId="30" fillId="0" borderId="71" xfId="0" applyFont="1" applyBorder="1" applyAlignment="1">
      <alignment horizontal="center" vertical="center" wrapText="1"/>
    </xf>
    <xf numFmtId="0" fontId="27" fillId="0" borderId="38" xfId="0" applyFont="1" applyBorder="1" applyAlignment="1">
      <alignment horizontal="center" vertical="center"/>
    </xf>
    <xf numFmtId="0" fontId="27" fillId="0" borderId="51" xfId="0" applyFont="1" applyBorder="1" applyAlignment="1">
      <alignment horizontal="center" vertical="center" wrapText="1"/>
    </xf>
    <xf numFmtId="0" fontId="27" fillId="0" borderId="65" xfId="0" applyFont="1" applyBorder="1" applyAlignment="1">
      <alignment horizontal="center" vertical="center" wrapText="1"/>
    </xf>
    <xf numFmtId="0" fontId="45" fillId="8" borderId="17" xfId="0" applyFont="1" applyFill="1" applyBorder="1" applyAlignment="1">
      <alignment horizontal="center" vertical="center"/>
    </xf>
    <xf numFmtId="0" fontId="45" fillId="8" borderId="18" xfId="0" applyFont="1" applyFill="1" applyBorder="1" applyAlignment="1">
      <alignment horizontal="center" vertical="center"/>
    </xf>
    <xf numFmtId="0" fontId="45" fillId="8" borderId="19" xfId="0" applyFont="1" applyFill="1" applyBorder="1" applyAlignment="1">
      <alignment horizontal="center" vertical="center"/>
    </xf>
    <xf numFmtId="0" fontId="45" fillId="8" borderId="42" xfId="0" applyFont="1" applyFill="1" applyBorder="1" applyAlignment="1">
      <alignment horizontal="center" vertical="center"/>
    </xf>
    <xf numFmtId="0" fontId="45" fillId="8" borderId="0" xfId="0" applyFont="1" applyFill="1" applyBorder="1" applyAlignment="1">
      <alignment horizontal="center" vertical="center"/>
    </xf>
    <xf numFmtId="0" fontId="45" fillId="8" borderId="39" xfId="0" applyFont="1" applyFill="1" applyBorder="1" applyAlignment="1">
      <alignment horizontal="center" vertical="center"/>
    </xf>
    <xf numFmtId="0" fontId="45" fillId="8" borderId="20" xfId="0" applyFont="1" applyFill="1" applyBorder="1" applyAlignment="1">
      <alignment horizontal="center" vertical="center"/>
    </xf>
    <xf numFmtId="0" fontId="45" fillId="8" borderId="21" xfId="0" applyFont="1" applyFill="1" applyBorder="1" applyAlignment="1">
      <alignment horizontal="center" vertical="center"/>
    </xf>
    <xf numFmtId="0" fontId="45" fillId="8" borderId="22" xfId="0" applyFont="1" applyFill="1" applyBorder="1" applyAlignment="1">
      <alignment horizontal="center" vertical="center"/>
    </xf>
    <xf numFmtId="0" fontId="30" fillId="0" borderId="37" xfId="0" applyFont="1" applyBorder="1" applyAlignment="1">
      <alignment horizontal="center" vertical="center" wrapText="1"/>
    </xf>
    <xf numFmtId="0" fontId="27" fillId="0" borderId="68" xfId="0" applyFont="1" applyBorder="1" applyAlignment="1">
      <alignment horizontal="center" vertical="center" wrapText="1"/>
    </xf>
    <xf numFmtId="0" fontId="27" fillId="0" borderId="69" xfId="0" applyFont="1" applyBorder="1" applyAlignment="1">
      <alignment horizontal="center" vertical="center" wrapText="1"/>
    </xf>
    <xf numFmtId="0" fontId="27" fillId="0" borderId="42" xfId="0" applyFont="1" applyBorder="1" applyAlignment="1">
      <alignment horizontal="center" vertical="center" wrapText="1"/>
    </xf>
    <xf numFmtId="0" fontId="25" fillId="0" borderId="17" xfId="0" applyFont="1" applyBorder="1" applyAlignment="1">
      <alignment horizontal="center" vertical="center" wrapText="1"/>
    </xf>
    <xf numFmtId="0" fontId="25" fillId="0" borderId="18" xfId="0" applyFont="1" applyBorder="1" applyAlignment="1">
      <alignment horizontal="center" vertical="center" wrapText="1"/>
    </xf>
    <xf numFmtId="0" fontId="25" fillId="0" borderId="77" xfId="0" applyFont="1" applyBorder="1" applyAlignment="1">
      <alignment horizontal="center" vertical="center" wrapText="1"/>
    </xf>
    <xf numFmtId="0" fontId="27" fillId="0" borderId="50" xfId="0" applyFont="1" applyBorder="1" applyAlignment="1">
      <alignment horizontal="center" vertical="center" wrapText="1"/>
    </xf>
    <xf numFmtId="0" fontId="27" fillId="0" borderId="20" xfId="0" applyFont="1" applyBorder="1" applyAlignment="1">
      <alignment horizontal="center" vertical="center" wrapText="1"/>
    </xf>
    <xf numFmtId="0" fontId="30" fillId="0" borderId="66" xfId="0" applyFont="1" applyBorder="1" applyAlignment="1">
      <alignment horizontal="center" vertical="center" wrapText="1"/>
    </xf>
    <xf numFmtId="0" fontId="25" fillId="0" borderId="1" xfId="0" applyFont="1" applyBorder="1" applyAlignment="1">
      <alignment horizontal="center" vertical="center" wrapText="1"/>
    </xf>
    <xf numFmtId="0" fontId="25" fillId="0" borderId="2" xfId="0" applyFont="1" applyBorder="1" applyAlignment="1">
      <alignment horizontal="center" vertical="center" wrapText="1"/>
    </xf>
    <xf numFmtId="0" fontId="25" fillId="0" borderId="63" xfId="0" applyFont="1" applyBorder="1" applyAlignment="1">
      <alignment horizontal="center" vertical="center" wrapText="1"/>
    </xf>
    <xf numFmtId="0" fontId="27" fillId="0" borderId="75" xfId="0" applyFont="1" applyBorder="1" applyAlignment="1">
      <alignment horizontal="center" vertical="center" wrapText="1"/>
    </xf>
    <xf numFmtId="2" fontId="27" fillId="0" borderId="51" xfId="0" applyNumberFormat="1" applyFont="1" applyBorder="1" applyAlignment="1">
      <alignment horizontal="center" vertical="center" wrapText="1"/>
    </xf>
    <xf numFmtId="2" fontId="27" fillId="0" borderId="65" xfId="0" applyNumberFormat="1" applyFont="1" applyBorder="1" applyAlignment="1">
      <alignment horizontal="center" vertical="center" wrapText="1"/>
    </xf>
    <xf numFmtId="0" fontId="27" fillId="0" borderId="46" xfId="0" applyFont="1" applyBorder="1" applyAlignment="1">
      <alignment horizontal="center" vertical="center" wrapText="1"/>
    </xf>
    <xf numFmtId="0" fontId="27" fillId="0" borderId="15" xfId="0" applyFont="1" applyBorder="1" applyAlignment="1">
      <alignment horizontal="center" vertical="center" wrapText="1"/>
    </xf>
    <xf numFmtId="0" fontId="27" fillId="0" borderId="47" xfId="0" applyFont="1" applyBorder="1" applyAlignment="1">
      <alignment horizontal="center" vertical="center" wrapText="1"/>
    </xf>
    <xf numFmtId="0" fontId="27" fillId="0" borderId="0" xfId="0" applyFont="1" applyBorder="1" applyAlignment="1">
      <alignment horizontal="center" vertical="center" wrapText="1"/>
    </xf>
    <xf numFmtId="0" fontId="27" fillId="0" borderId="39" xfId="0" applyFont="1" applyBorder="1" applyAlignment="1">
      <alignment horizontal="center" vertical="center" wrapText="1"/>
    </xf>
    <xf numFmtId="0" fontId="27" fillId="0" borderId="121" xfId="0" applyFont="1" applyBorder="1" applyAlignment="1">
      <alignment horizontal="center" vertical="center" wrapText="1"/>
    </xf>
    <xf numFmtId="0" fontId="27" fillId="0" borderId="122" xfId="0" applyFont="1" applyBorder="1" applyAlignment="1">
      <alignment horizontal="center" vertical="center" wrapText="1"/>
    </xf>
    <xf numFmtId="0" fontId="27" fillId="0" borderId="123" xfId="0" applyFont="1" applyBorder="1" applyAlignment="1">
      <alignment horizontal="center" vertical="center" wrapText="1"/>
    </xf>
    <xf numFmtId="0" fontId="30" fillId="0" borderId="49" xfId="0" applyFont="1" applyBorder="1" applyAlignment="1">
      <alignment horizontal="center" vertical="center"/>
    </xf>
    <xf numFmtId="165" fontId="30" fillId="0" borderId="35" xfId="0" applyNumberFormat="1" applyFont="1" applyBorder="1" applyAlignment="1">
      <alignment horizontal="center" vertical="center"/>
    </xf>
    <xf numFmtId="165" fontId="30" fillId="0" borderId="36" xfId="0" applyNumberFormat="1" applyFont="1" applyBorder="1" applyAlignment="1">
      <alignment horizontal="center" vertical="center"/>
    </xf>
    <xf numFmtId="165" fontId="30" fillId="0" borderId="49" xfId="0" applyNumberFormat="1" applyFont="1" applyBorder="1" applyAlignment="1">
      <alignment horizontal="center" vertical="center"/>
    </xf>
    <xf numFmtId="0" fontId="30" fillId="0" borderId="1" xfId="0" applyFont="1" applyBorder="1" applyAlignment="1">
      <alignment horizontal="center"/>
    </xf>
    <xf numFmtId="0" fontId="30" fillId="0" borderId="2" xfId="0" applyFont="1" applyBorder="1" applyAlignment="1">
      <alignment horizontal="center"/>
    </xf>
    <xf numFmtId="0" fontId="30" fillId="0" borderId="3" xfId="0" applyFont="1" applyBorder="1" applyAlignment="1">
      <alignment horizontal="center"/>
    </xf>
    <xf numFmtId="0" fontId="60" fillId="0" borderId="46" xfId="37" applyFont="1" applyBorder="1" applyAlignment="1">
      <alignment horizontal="center" vertical="center" wrapText="1"/>
    </xf>
    <xf numFmtId="0" fontId="60" fillId="0" borderId="15" xfId="37" applyFont="1" applyBorder="1" applyAlignment="1">
      <alignment horizontal="center" vertical="center" wrapText="1"/>
    </xf>
    <xf numFmtId="0" fontId="60" fillId="0" borderId="47" xfId="37" applyFont="1" applyBorder="1" applyAlignment="1">
      <alignment horizontal="center" vertical="center" wrapText="1"/>
    </xf>
    <xf numFmtId="0" fontId="60" fillId="0" borderId="42" xfId="37" applyFont="1" applyBorder="1" applyAlignment="1">
      <alignment horizontal="center" vertical="center" wrapText="1"/>
    </xf>
    <xf numFmtId="0" fontId="60" fillId="0" borderId="0" xfId="37" applyFont="1" applyBorder="1" applyAlignment="1">
      <alignment horizontal="center" vertical="center" wrapText="1"/>
    </xf>
    <xf numFmtId="0" fontId="60" fillId="0" borderId="39" xfId="37" applyFont="1" applyBorder="1" applyAlignment="1">
      <alignment horizontal="center" vertical="center" wrapText="1"/>
    </xf>
    <xf numFmtId="0" fontId="60" fillId="0" borderId="121" xfId="37" applyFont="1" applyBorder="1" applyAlignment="1">
      <alignment horizontal="center" vertical="center" wrapText="1"/>
    </xf>
    <xf numFmtId="0" fontId="60" fillId="0" borderId="122" xfId="37" applyFont="1" applyBorder="1" applyAlignment="1">
      <alignment horizontal="center" vertical="center" wrapText="1"/>
    </xf>
    <xf numFmtId="0" fontId="60" fillId="0" borderId="123" xfId="37" applyFont="1" applyBorder="1" applyAlignment="1">
      <alignment horizontal="center" vertical="center" wrapText="1"/>
    </xf>
    <xf numFmtId="0" fontId="29" fillId="11" borderId="23" xfId="0" applyFont="1" applyFill="1" applyBorder="1" applyAlignment="1">
      <alignment horizontal="center" vertical="center"/>
    </xf>
    <xf numFmtId="0" fontId="29" fillId="11" borderId="24" xfId="0" applyFont="1" applyFill="1" applyBorder="1" applyAlignment="1">
      <alignment horizontal="center" vertical="center"/>
    </xf>
    <xf numFmtId="0" fontId="29" fillId="11" borderId="40" xfId="0" applyFont="1" applyFill="1" applyBorder="1" applyAlignment="1">
      <alignment horizontal="center" vertical="center"/>
    </xf>
    <xf numFmtId="0" fontId="29" fillId="11" borderId="31" xfId="0" applyFont="1" applyFill="1" applyBorder="1" applyAlignment="1">
      <alignment horizontal="center" vertical="center"/>
    </xf>
    <xf numFmtId="0" fontId="27" fillId="0" borderId="10" xfId="0" applyFont="1" applyBorder="1" applyAlignment="1">
      <alignment horizontal="center" vertical="center" wrapText="1"/>
    </xf>
    <xf numFmtId="0" fontId="27" fillId="0" borderId="43" xfId="0" applyFont="1" applyBorder="1" applyAlignment="1">
      <alignment horizontal="center" vertical="center" wrapText="1"/>
    </xf>
    <xf numFmtId="0" fontId="19" fillId="0" borderId="6" xfId="0" applyFont="1" applyBorder="1" applyAlignment="1">
      <alignment horizontal="center" vertical="center"/>
    </xf>
    <xf numFmtId="0" fontId="19" fillId="0" borderId="6" xfId="0" applyFont="1" applyBorder="1" applyAlignment="1">
      <alignment horizontal="center" vertical="center" wrapText="1"/>
    </xf>
    <xf numFmtId="0" fontId="0" fillId="0" borderId="6" xfId="0" applyBorder="1" applyAlignment="1">
      <alignment horizontal="center" vertical="center"/>
    </xf>
    <xf numFmtId="0" fontId="29" fillId="0" borderId="1" xfId="0" applyFont="1" applyBorder="1" applyAlignment="1">
      <alignment horizontal="center" vertical="center"/>
    </xf>
    <xf numFmtId="0" fontId="29" fillId="0" borderId="2" xfId="0" applyFont="1" applyBorder="1" applyAlignment="1">
      <alignment horizontal="center" vertical="center"/>
    </xf>
    <xf numFmtId="0" fontId="29" fillId="0" borderId="3" xfId="0" applyFont="1" applyBorder="1" applyAlignment="1">
      <alignment horizontal="center" vertical="center"/>
    </xf>
    <xf numFmtId="0" fontId="30" fillId="10" borderId="23" xfId="0" applyFont="1" applyFill="1" applyBorder="1" applyAlignment="1">
      <alignment horizontal="center" vertical="center"/>
    </xf>
    <xf numFmtId="0" fontId="30" fillId="10" borderId="26" xfId="0" applyFont="1" applyFill="1" applyBorder="1" applyAlignment="1">
      <alignment horizontal="center" vertical="center"/>
    </xf>
    <xf numFmtId="0" fontId="30" fillId="10" borderId="50" xfId="0" applyFont="1" applyFill="1" applyBorder="1" applyAlignment="1">
      <alignment horizontal="center" vertical="center"/>
    </xf>
    <xf numFmtId="0" fontId="30" fillId="10" borderId="40" xfId="0" applyFont="1" applyFill="1" applyBorder="1" applyAlignment="1">
      <alignment horizontal="center" vertical="center"/>
    </xf>
    <xf numFmtId="0" fontId="30" fillId="10" borderId="64" xfId="0" applyFont="1" applyFill="1" applyBorder="1" applyAlignment="1">
      <alignment horizontal="center" vertical="center"/>
    </xf>
    <xf numFmtId="0" fontId="11" fillId="2" borderId="0" xfId="3" applyFont="1" applyFill="1" applyBorder="1" applyAlignment="1">
      <alignment horizontal="center"/>
    </xf>
    <xf numFmtId="0" fontId="18" fillId="2" borderId="0" xfId="3" applyFont="1" applyFill="1" applyBorder="1" applyAlignment="1">
      <alignment horizontal="center"/>
    </xf>
    <xf numFmtId="0" fontId="1" fillId="2" borderId="0" xfId="3" applyFill="1" applyBorder="1" applyAlignment="1">
      <alignment horizontal="center" vertical="center"/>
    </xf>
    <xf numFmtId="165" fontId="1" fillId="2" borderId="0" xfId="3" applyNumberFormat="1" applyFill="1" applyBorder="1" applyAlignment="1">
      <alignment horizontal="center"/>
    </xf>
    <xf numFmtId="0" fontId="25" fillId="2" borderId="46" xfId="3" applyFont="1" applyFill="1" applyBorder="1" applyAlignment="1">
      <alignment horizontal="center" vertical="center" wrapText="1"/>
    </xf>
    <xf numFmtId="0" fontId="25" fillId="2" borderId="15" xfId="3" applyFont="1" applyFill="1" applyBorder="1" applyAlignment="1">
      <alignment horizontal="center" vertical="center" wrapText="1"/>
    </xf>
    <xf numFmtId="0" fontId="25" fillId="2" borderId="47" xfId="3" applyFont="1" applyFill="1" applyBorder="1" applyAlignment="1">
      <alignment horizontal="center" vertical="center" wrapText="1"/>
    </xf>
    <xf numFmtId="4" fontId="48" fillId="2" borderId="1" xfId="3" applyNumberFormat="1" applyFont="1" applyFill="1" applyBorder="1" applyAlignment="1">
      <alignment horizontal="center" vertical="center" wrapText="1"/>
    </xf>
    <xf numFmtId="4" fontId="48" fillId="2" borderId="2" xfId="3" applyNumberFormat="1" applyFont="1" applyFill="1" applyBorder="1" applyAlignment="1">
      <alignment horizontal="center" vertical="center" wrapText="1"/>
    </xf>
    <xf numFmtId="4" fontId="48" fillId="2" borderId="3" xfId="3" applyNumberFormat="1" applyFont="1" applyFill="1" applyBorder="1" applyAlignment="1">
      <alignment horizontal="center" vertical="center" wrapText="1"/>
    </xf>
    <xf numFmtId="0" fontId="25" fillId="2" borderId="26" xfId="3" applyFont="1" applyFill="1" applyBorder="1" applyAlignment="1">
      <alignment horizontal="center" wrapText="1"/>
    </xf>
    <xf numFmtId="0" fontId="25" fillId="2" borderId="6" xfId="3" applyFont="1" applyFill="1" applyBorder="1" applyAlignment="1">
      <alignment horizontal="center" wrapText="1"/>
    </xf>
    <xf numFmtId="0" fontId="25" fillId="2" borderId="27" xfId="3" applyFont="1" applyFill="1" applyBorder="1" applyAlignment="1">
      <alignment horizontal="center" wrapText="1"/>
    </xf>
    <xf numFmtId="0" fontId="28" fillId="2" borderId="46" xfId="3" applyFont="1" applyFill="1" applyBorder="1" applyAlignment="1">
      <alignment horizontal="center"/>
    </xf>
    <xf numFmtId="0" fontId="28" fillId="2" borderId="15" xfId="3" applyFont="1" applyFill="1" applyBorder="1" applyAlignment="1">
      <alignment horizontal="center"/>
    </xf>
    <xf numFmtId="0" fontId="28" fillId="2" borderId="47" xfId="3" applyFont="1" applyFill="1" applyBorder="1" applyAlignment="1">
      <alignment horizontal="center"/>
    </xf>
    <xf numFmtId="0" fontId="27" fillId="2" borderId="9" xfId="3" applyFont="1" applyFill="1" applyBorder="1" applyAlignment="1">
      <alignment horizontal="center" vertical="center"/>
    </xf>
    <xf numFmtId="165" fontId="27" fillId="2" borderId="15" xfId="3" applyNumberFormat="1" applyFont="1" applyFill="1" applyBorder="1" applyAlignment="1">
      <alignment horizontal="center"/>
    </xf>
    <xf numFmtId="165" fontId="27" fillId="2" borderId="0" xfId="3" applyNumberFormat="1" applyFont="1" applyFill="1" applyBorder="1" applyAlignment="1">
      <alignment horizontal="center"/>
    </xf>
    <xf numFmtId="0" fontId="25" fillId="2" borderId="33" xfId="3" applyFont="1" applyFill="1" applyBorder="1" applyAlignment="1">
      <alignment horizontal="center"/>
    </xf>
    <xf numFmtId="0" fontId="25" fillId="2" borderId="9" xfId="3" applyFont="1" applyFill="1" applyBorder="1" applyAlignment="1">
      <alignment horizontal="center"/>
    </xf>
    <xf numFmtId="0" fontId="27" fillId="2" borderId="17" xfId="3" applyFont="1" applyFill="1" applyBorder="1" applyAlignment="1">
      <alignment horizontal="center" vertical="center" wrapText="1"/>
    </xf>
    <xf numFmtId="0" fontId="27" fillId="2" borderId="18" xfId="3" applyFont="1" applyFill="1" applyBorder="1" applyAlignment="1">
      <alignment horizontal="center" vertical="center"/>
    </xf>
    <xf numFmtId="0" fontId="27" fillId="2" borderId="19" xfId="3" applyFont="1" applyFill="1" applyBorder="1" applyAlignment="1">
      <alignment horizontal="center" vertical="center"/>
    </xf>
    <xf numFmtId="0" fontId="27" fillId="2" borderId="42" xfId="3" applyFont="1" applyFill="1" applyBorder="1" applyAlignment="1">
      <alignment horizontal="center" vertical="center"/>
    </xf>
    <xf numFmtId="0" fontId="27" fillId="2" borderId="0" xfId="3" applyFont="1" applyFill="1" applyBorder="1" applyAlignment="1">
      <alignment horizontal="center" vertical="center"/>
    </xf>
    <xf numFmtId="0" fontId="27" fillId="2" borderId="39" xfId="3" applyFont="1" applyFill="1" applyBorder="1" applyAlignment="1">
      <alignment horizontal="center" vertical="center"/>
    </xf>
    <xf numFmtId="0" fontId="27" fillId="2" borderId="20" xfId="3" applyFont="1" applyFill="1" applyBorder="1" applyAlignment="1">
      <alignment horizontal="center" vertical="center"/>
    </xf>
    <xf numFmtId="0" fontId="27" fillId="2" borderId="21" xfId="3" applyFont="1" applyFill="1" applyBorder="1" applyAlignment="1">
      <alignment horizontal="center" vertical="center"/>
    </xf>
    <xf numFmtId="0" fontId="27" fillId="2" borderId="22" xfId="3" applyFont="1" applyFill="1" applyBorder="1" applyAlignment="1">
      <alignment horizontal="center" vertical="center"/>
    </xf>
    <xf numFmtId="0" fontId="27" fillId="4" borderId="42" xfId="3" applyFont="1" applyFill="1" applyBorder="1" applyAlignment="1">
      <alignment horizontal="center"/>
    </xf>
    <xf numFmtId="0" fontId="27" fillId="4" borderId="0" xfId="3" applyFont="1" applyFill="1" applyBorder="1" applyAlignment="1">
      <alignment horizontal="center"/>
    </xf>
    <xf numFmtId="4" fontId="46" fillId="5" borderId="1" xfId="13" applyNumberFormat="1" applyFont="1" applyFill="1" applyBorder="1" applyAlignment="1">
      <alignment horizontal="center" vertical="center"/>
    </xf>
    <xf numFmtId="4" fontId="46" fillId="5" borderId="2" xfId="13" applyNumberFormat="1" applyFont="1" applyFill="1" applyBorder="1" applyAlignment="1">
      <alignment horizontal="center" vertical="center"/>
    </xf>
    <xf numFmtId="4" fontId="46" fillId="5" borderId="3" xfId="13" applyNumberFormat="1" applyFont="1" applyFill="1" applyBorder="1" applyAlignment="1">
      <alignment horizontal="center" vertical="center"/>
    </xf>
    <xf numFmtId="4" fontId="53" fillId="5" borderId="1" xfId="13" applyNumberFormat="1" applyFont="1" applyFill="1" applyBorder="1" applyAlignment="1">
      <alignment horizontal="center" vertical="center"/>
    </xf>
    <xf numFmtId="4" fontId="53" fillId="5" borderId="2" xfId="13" applyNumberFormat="1" applyFont="1" applyFill="1" applyBorder="1" applyAlignment="1">
      <alignment horizontal="center" vertical="center"/>
    </xf>
    <xf numFmtId="4" fontId="53" fillId="5" borderId="3" xfId="13" applyNumberFormat="1" applyFont="1" applyFill="1" applyBorder="1" applyAlignment="1">
      <alignment horizontal="center" vertical="center"/>
    </xf>
    <xf numFmtId="0" fontId="48" fillId="4" borderId="1" xfId="3" applyFont="1" applyFill="1" applyBorder="1" applyAlignment="1">
      <alignment horizontal="right" vertical="center"/>
    </xf>
    <xf numFmtId="0" fontId="48" fillId="4" borderId="2" xfId="3" applyFont="1" applyFill="1" applyBorder="1" applyAlignment="1">
      <alignment horizontal="right" vertical="center"/>
    </xf>
    <xf numFmtId="0" fontId="48" fillId="4" borderId="63" xfId="3" applyFont="1" applyFill="1" applyBorder="1" applyAlignment="1">
      <alignment horizontal="right" vertical="center"/>
    </xf>
    <xf numFmtId="0" fontId="27" fillId="0" borderId="126" xfId="0" applyFont="1" applyBorder="1" applyAlignment="1">
      <alignment horizontal="center" vertical="center"/>
    </xf>
    <xf numFmtId="0" fontId="27" fillId="0" borderId="130" xfId="0" applyFont="1" applyBorder="1" applyAlignment="1">
      <alignment horizontal="center" vertical="center"/>
    </xf>
    <xf numFmtId="0" fontId="23" fillId="0" borderId="129" xfId="37" applyBorder="1" applyAlignment="1">
      <alignment horizontal="center" wrapText="1"/>
    </xf>
    <xf numFmtId="0" fontId="23" fillId="0" borderId="127" xfId="37" applyBorder="1" applyAlignment="1">
      <alignment horizontal="center" wrapText="1"/>
    </xf>
    <xf numFmtId="0" fontId="23" fillId="0" borderId="128" xfId="37" applyBorder="1" applyAlignment="1">
      <alignment horizontal="center" wrapText="1"/>
    </xf>
    <xf numFmtId="0" fontId="23" fillId="0" borderId="0" xfId="37" applyAlignment="1">
      <alignment horizontal="center" wrapText="1"/>
    </xf>
    <xf numFmtId="0" fontId="0" fillId="0" borderId="0" xfId="0" applyAlignment="1">
      <alignment horizontal="center" wrapText="1"/>
    </xf>
    <xf numFmtId="0" fontId="23" fillId="0" borderId="106" xfId="37" applyBorder="1" applyAlignment="1">
      <alignment horizontal="center" wrapText="1"/>
    </xf>
    <xf numFmtId="0" fontId="0" fillId="0" borderId="106" xfId="0" applyBorder="1" applyAlignment="1">
      <alignment horizontal="center" wrapText="1"/>
    </xf>
    <xf numFmtId="0" fontId="19" fillId="0" borderId="35" xfId="3" applyFont="1" applyBorder="1" applyAlignment="1">
      <alignment horizontal="center"/>
    </xf>
    <xf numFmtId="0" fontId="19" fillId="0" borderId="36" xfId="3" applyFont="1" applyBorder="1" applyAlignment="1">
      <alignment horizontal="center"/>
    </xf>
    <xf numFmtId="0" fontId="19" fillId="0" borderId="49" xfId="3" applyFont="1" applyBorder="1" applyAlignment="1">
      <alignment horizontal="center"/>
    </xf>
    <xf numFmtId="165" fontId="2" fillId="0" borderId="1" xfId="3" applyNumberFormat="1" applyFont="1" applyBorder="1" applyAlignment="1">
      <alignment horizontal="center" vertical="center"/>
    </xf>
    <xf numFmtId="165" fontId="2" fillId="0" borderId="2" xfId="3" applyNumberFormat="1" applyFont="1" applyBorder="1" applyAlignment="1">
      <alignment horizontal="center" vertical="center"/>
    </xf>
    <xf numFmtId="165" fontId="2" fillId="0" borderId="3" xfId="3" applyNumberFormat="1" applyFont="1" applyBorder="1" applyAlignment="1">
      <alignment horizontal="center" vertical="center"/>
    </xf>
    <xf numFmtId="0" fontId="0" fillId="0" borderId="124" xfId="0" applyBorder="1" applyAlignment="1">
      <alignment horizontal="center"/>
    </xf>
    <xf numFmtId="0" fontId="0" fillId="0" borderId="131" xfId="0" applyBorder="1" applyAlignment="1">
      <alignment horizontal="center"/>
    </xf>
    <xf numFmtId="0" fontId="0" fillId="0" borderId="138" xfId="0" applyBorder="1" applyAlignment="1">
      <alignment horizontal="center"/>
    </xf>
    <xf numFmtId="0" fontId="0" fillId="0" borderId="139" xfId="0" applyBorder="1" applyAlignment="1">
      <alignment horizontal="center" vertical="center" wrapText="1"/>
    </xf>
    <xf numFmtId="0" fontId="0" fillId="0" borderId="133" xfId="0" applyBorder="1" applyAlignment="1">
      <alignment horizontal="center" vertical="center" wrapText="1"/>
    </xf>
    <xf numFmtId="0" fontId="0" fillId="0" borderId="140" xfId="0" applyBorder="1" applyAlignment="1">
      <alignment horizontal="center" vertical="center" wrapText="1"/>
    </xf>
    <xf numFmtId="0" fontId="23" fillId="0" borderId="103" xfId="37" applyBorder="1" applyAlignment="1">
      <alignment horizontal="center" vertical="center"/>
    </xf>
    <xf numFmtId="0" fontId="30" fillId="0" borderId="103" xfId="0" applyFont="1" applyBorder="1" applyAlignment="1">
      <alignment horizontal="center" vertical="center"/>
    </xf>
    <xf numFmtId="0" fontId="30" fillId="0" borderId="104" xfId="0" applyFont="1" applyBorder="1" applyAlignment="1">
      <alignment horizontal="center" vertical="center"/>
    </xf>
    <xf numFmtId="0" fontId="28" fillId="8" borderId="17" xfId="0" applyFont="1" applyFill="1" applyBorder="1" applyAlignment="1">
      <alignment horizontal="center" vertical="center"/>
    </xf>
    <xf numFmtId="0" fontId="28" fillId="8" borderId="18" xfId="0" applyFont="1" applyFill="1" applyBorder="1" applyAlignment="1">
      <alignment horizontal="center" vertical="center"/>
    </xf>
    <xf numFmtId="0" fontId="28" fillId="8" borderId="19" xfId="0" applyFont="1" applyFill="1" applyBorder="1" applyAlignment="1">
      <alignment horizontal="center" vertical="center"/>
    </xf>
    <xf numFmtId="0" fontId="28" fillId="8" borderId="42" xfId="0" applyFont="1" applyFill="1" applyBorder="1" applyAlignment="1">
      <alignment horizontal="center" vertical="center"/>
    </xf>
    <xf numFmtId="0" fontId="28" fillId="8" borderId="0" xfId="0" applyFont="1" applyFill="1" applyBorder="1" applyAlignment="1">
      <alignment horizontal="center" vertical="center"/>
    </xf>
    <xf numFmtId="0" fontId="28" fillId="8" borderId="39" xfId="0" applyFont="1" applyFill="1" applyBorder="1" applyAlignment="1">
      <alignment horizontal="center" vertical="center"/>
    </xf>
    <xf numFmtId="0" fontId="28" fillId="8" borderId="20" xfId="0" applyFont="1" applyFill="1" applyBorder="1" applyAlignment="1">
      <alignment horizontal="center" vertical="center"/>
    </xf>
    <xf numFmtId="0" fontId="28" fillId="8" borderId="21" xfId="0" applyFont="1" applyFill="1" applyBorder="1" applyAlignment="1">
      <alignment horizontal="center" vertical="center"/>
    </xf>
    <xf numFmtId="0" fontId="28" fillId="8" borderId="22" xfId="0" applyFont="1" applyFill="1" applyBorder="1" applyAlignment="1">
      <alignment horizontal="center" vertical="center"/>
    </xf>
    <xf numFmtId="0" fontId="33" fillId="0" borderId="51" xfId="0" applyFont="1" applyBorder="1" applyAlignment="1">
      <alignment horizontal="center" vertical="center" wrapText="1"/>
    </xf>
    <xf numFmtId="0" fontId="11" fillId="2" borderId="28" xfId="3" applyFont="1" applyFill="1" applyBorder="1" applyAlignment="1">
      <alignment horizontal="center"/>
    </xf>
    <xf numFmtId="0" fontId="11" fillId="2" borderId="29" xfId="3" applyFont="1" applyFill="1" applyBorder="1" applyAlignment="1">
      <alignment horizontal="center"/>
    </xf>
    <xf numFmtId="0" fontId="11" fillId="2" borderId="46" xfId="3" applyFont="1" applyFill="1" applyBorder="1" applyAlignment="1">
      <alignment horizontal="center" vertical="center" wrapText="1"/>
    </xf>
    <xf numFmtId="0" fontId="11" fillId="2" borderId="15" xfId="3" applyFont="1" applyFill="1" applyBorder="1" applyAlignment="1">
      <alignment horizontal="center" vertical="center" wrapText="1"/>
    </xf>
    <xf numFmtId="0" fontId="11" fillId="2" borderId="47" xfId="3" applyFont="1" applyFill="1" applyBorder="1" applyAlignment="1">
      <alignment horizontal="center" vertical="center" wrapText="1"/>
    </xf>
    <xf numFmtId="4" fontId="61" fillId="2" borderId="1" xfId="3" applyNumberFormat="1" applyFont="1" applyFill="1" applyBorder="1" applyAlignment="1">
      <alignment horizontal="center" vertical="center" wrapText="1"/>
    </xf>
    <xf numFmtId="4" fontId="61" fillId="2" borderId="2" xfId="3" applyNumberFormat="1" applyFont="1" applyFill="1" applyBorder="1" applyAlignment="1">
      <alignment horizontal="center" vertical="center" wrapText="1"/>
    </xf>
    <xf numFmtId="4" fontId="61" fillId="2" borderId="3" xfId="3" applyNumberFormat="1" applyFont="1" applyFill="1" applyBorder="1" applyAlignment="1">
      <alignment horizontal="center" vertical="center" wrapText="1"/>
    </xf>
    <xf numFmtId="0" fontId="11" fillId="2" borderId="26" xfId="3" applyFont="1" applyFill="1" applyBorder="1" applyAlignment="1">
      <alignment horizontal="center" wrapText="1"/>
    </xf>
    <xf numFmtId="0" fontId="11" fillId="2" borderId="6" xfId="3" applyFont="1" applyFill="1" applyBorder="1" applyAlignment="1">
      <alignment horizontal="center" wrapText="1"/>
    </xf>
    <xf numFmtId="0" fontId="11" fillId="2" borderId="27" xfId="3" applyFont="1" applyFill="1" applyBorder="1" applyAlignment="1">
      <alignment horizontal="center" wrapText="1"/>
    </xf>
    <xf numFmtId="0" fontId="18" fillId="2" borderId="33" xfId="3" applyFont="1" applyFill="1" applyBorder="1" applyAlignment="1">
      <alignment horizontal="center"/>
    </xf>
    <xf numFmtId="0" fontId="18" fillId="2" borderId="9" xfId="3" applyFont="1" applyFill="1" applyBorder="1" applyAlignment="1">
      <alignment horizontal="center"/>
    </xf>
    <xf numFmtId="0" fontId="18" fillId="2" borderId="45" xfId="3" applyFont="1" applyFill="1" applyBorder="1" applyAlignment="1">
      <alignment horizontal="center"/>
    </xf>
    <xf numFmtId="0" fontId="20" fillId="2" borderId="46" xfId="3" applyFont="1" applyFill="1" applyBorder="1" applyAlignment="1">
      <alignment horizontal="center" vertical="center" wrapText="1"/>
    </xf>
    <xf numFmtId="0" fontId="20" fillId="2" borderId="15" xfId="3" applyFont="1" applyFill="1" applyBorder="1" applyAlignment="1">
      <alignment horizontal="center" vertical="center" wrapText="1"/>
    </xf>
    <xf numFmtId="0" fontId="20" fillId="2" borderId="47" xfId="3" applyFont="1" applyFill="1" applyBorder="1" applyAlignment="1">
      <alignment horizontal="center" vertical="center" wrapText="1"/>
    </xf>
    <xf numFmtId="0" fontId="20" fillId="2" borderId="43" xfId="3" applyFont="1" applyFill="1" applyBorder="1" applyAlignment="1">
      <alignment horizontal="center" vertical="center" wrapText="1"/>
    </xf>
    <xf numFmtId="0" fontId="20" fillId="2" borderId="5" xfId="3" applyFont="1" applyFill="1" applyBorder="1" applyAlignment="1">
      <alignment horizontal="center" vertical="center" wrapText="1"/>
    </xf>
    <xf numFmtId="0" fontId="20" fillId="2" borderId="44" xfId="3" applyFont="1" applyFill="1" applyBorder="1" applyAlignment="1">
      <alignment horizontal="center" vertical="center" wrapText="1"/>
    </xf>
    <xf numFmtId="4" fontId="22" fillId="7" borderId="33" xfId="3" applyNumberFormat="1" applyFont="1" applyFill="1" applyBorder="1" applyAlignment="1">
      <alignment horizontal="left" vertical="center" wrapText="1"/>
    </xf>
    <xf numFmtId="4" fontId="22" fillId="7" borderId="9" xfId="3" applyNumberFormat="1" applyFont="1" applyFill="1" applyBorder="1" applyAlignment="1">
      <alignment horizontal="left" vertical="center" wrapText="1"/>
    </xf>
    <xf numFmtId="4" fontId="22" fillId="7" borderId="8" xfId="3" applyNumberFormat="1" applyFont="1" applyFill="1" applyBorder="1" applyAlignment="1">
      <alignment horizontal="left" vertical="center" wrapText="1"/>
    </xf>
    <xf numFmtId="4" fontId="21" fillId="7" borderId="33" xfId="3" applyNumberFormat="1" applyFont="1" applyFill="1" applyBorder="1" applyAlignment="1">
      <alignment horizontal="left" vertical="center" wrapText="1"/>
    </xf>
    <xf numFmtId="4" fontId="21" fillId="7" borderId="9" xfId="3" applyNumberFormat="1" applyFont="1" applyFill="1" applyBorder="1" applyAlignment="1">
      <alignment horizontal="left" vertical="center" wrapText="1"/>
    </xf>
    <xf numFmtId="4" fontId="21" fillId="7" borderId="8" xfId="3" applyNumberFormat="1" applyFont="1" applyFill="1" applyBorder="1" applyAlignment="1">
      <alignment horizontal="left" vertical="center" wrapText="1"/>
    </xf>
    <xf numFmtId="4" fontId="21" fillId="7" borderId="33" xfId="3" applyNumberFormat="1" applyFont="1" applyFill="1" applyBorder="1" applyAlignment="1">
      <alignment horizontal="left" vertical="center"/>
    </xf>
    <xf numFmtId="4" fontId="21" fillId="7" borderId="9" xfId="3" applyNumberFormat="1" applyFont="1" applyFill="1" applyBorder="1" applyAlignment="1">
      <alignment horizontal="left" vertical="center"/>
    </xf>
    <xf numFmtId="4" fontId="21" fillId="7" borderId="8" xfId="3" applyNumberFormat="1" applyFont="1" applyFill="1" applyBorder="1" applyAlignment="1">
      <alignment horizontal="left" vertical="center"/>
    </xf>
    <xf numFmtId="4" fontId="9" fillId="2" borderId="33" xfId="3" applyNumberFormat="1" applyFont="1" applyFill="1" applyBorder="1" applyAlignment="1">
      <alignment horizontal="left" vertical="center"/>
    </xf>
    <xf numFmtId="4" fontId="9" fillId="2" borderId="9" xfId="3" applyNumberFormat="1" applyFont="1" applyFill="1" applyBorder="1" applyAlignment="1">
      <alignment horizontal="left" vertical="center"/>
    </xf>
    <xf numFmtId="4" fontId="9" fillId="2" borderId="8" xfId="3" applyNumberFormat="1" applyFont="1" applyFill="1" applyBorder="1" applyAlignment="1">
      <alignment horizontal="left" vertical="center"/>
    </xf>
    <xf numFmtId="165" fontId="19" fillId="7" borderId="25" xfId="0" applyNumberFormat="1" applyFont="1" applyFill="1" applyBorder="1" applyAlignment="1">
      <alignment horizontal="center" vertical="center"/>
    </xf>
    <xf numFmtId="0" fontId="19" fillId="7" borderId="32" xfId="0" applyFont="1" applyFill="1" applyBorder="1" applyAlignment="1">
      <alignment horizontal="center" vertical="center"/>
    </xf>
    <xf numFmtId="0" fontId="25" fillId="7" borderId="1" xfId="0" applyFont="1" applyFill="1" applyBorder="1" applyAlignment="1">
      <alignment horizontal="center" vertical="center"/>
    </xf>
    <xf numFmtId="0" fontId="25" fillId="7" borderId="2" xfId="0" applyFont="1" applyFill="1" applyBorder="1" applyAlignment="1">
      <alignment horizontal="center" vertical="center"/>
    </xf>
    <xf numFmtId="0" fontId="25" fillId="7" borderId="3" xfId="0" applyFont="1" applyFill="1" applyBorder="1" applyAlignment="1">
      <alignment horizontal="center" vertical="center"/>
    </xf>
    <xf numFmtId="0" fontId="1" fillId="7" borderId="26" xfId="0" applyFont="1" applyFill="1" applyBorder="1" applyAlignment="1">
      <alignment horizontal="center" vertical="center" wrapText="1"/>
    </xf>
    <xf numFmtId="0" fontId="1" fillId="7" borderId="6" xfId="0" applyFont="1" applyFill="1" applyBorder="1" applyAlignment="1">
      <alignment horizontal="center" vertical="center" wrapText="1"/>
    </xf>
    <xf numFmtId="0" fontId="1" fillId="7" borderId="27" xfId="0" applyFont="1" applyFill="1" applyBorder="1" applyAlignment="1">
      <alignment horizontal="center" vertical="center" wrapText="1"/>
    </xf>
    <xf numFmtId="0" fontId="47" fillId="7" borderId="1" xfId="0" applyFont="1" applyFill="1" applyBorder="1" applyAlignment="1">
      <alignment horizontal="center"/>
    </xf>
    <xf numFmtId="0" fontId="47" fillId="7" borderId="2" xfId="0" applyFont="1" applyFill="1" applyBorder="1" applyAlignment="1">
      <alignment horizontal="center"/>
    </xf>
    <xf numFmtId="0" fontId="47" fillId="7" borderId="3" xfId="0" applyFont="1" applyFill="1" applyBorder="1" applyAlignment="1">
      <alignment horizontal="center"/>
    </xf>
    <xf numFmtId="0" fontId="23" fillId="7" borderId="26" xfId="37" applyFill="1" applyBorder="1" applyAlignment="1">
      <alignment horizontal="center" vertical="center" wrapText="1"/>
    </xf>
    <xf numFmtId="0" fontId="23" fillId="7" borderId="6" xfId="37" applyFill="1" applyBorder="1" applyAlignment="1">
      <alignment horizontal="center" vertical="center" wrapText="1"/>
    </xf>
    <xf numFmtId="0" fontId="23" fillId="7" borderId="27" xfId="37" applyFill="1" applyBorder="1" applyAlignment="1">
      <alignment horizontal="center" vertical="center" wrapText="1"/>
    </xf>
    <xf numFmtId="0" fontId="1" fillId="7" borderId="26" xfId="0" applyFont="1" applyFill="1" applyBorder="1" applyAlignment="1">
      <alignment horizontal="center"/>
    </xf>
    <xf numFmtId="0" fontId="1" fillId="7" borderId="6" xfId="0" applyFont="1" applyFill="1" applyBorder="1" applyAlignment="1">
      <alignment horizontal="center"/>
    </xf>
    <xf numFmtId="0" fontId="1" fillId="7" borderId="27" xfId="0" applyFont="1" applyFill="1" applyBorder="1" applyAlignment="1">
      <alignment horizontal="center"/>
    </xf>
    <xf numFmtId="0" fontId="19" fillId="7" borderId="23" xfId="0" applyFont="1" applyFill="1" applyBorder="1" applyAlignment="1">
      <alignment horizontal="center" vertical="center" wrapText="1"/>
    </xf>
    <xf numFmtId="0" fontId="19" fillId="7" borderId="24" xfId="0" applyFont="1" applyFill="1" applyBorder="1" applyAlignment="1">
      <alignment horizontal="center" vertical="center" wrapText="1"/>
    </xf>
    <xf numFmtId="0" fontId="19" fillId="7" borderId="40" xfId="0" applyFont="1" applyFill="1" applyBorder="1" applyAlignment="1">
      <alignment horizontal="center" vertical="center" wrapText="1"/>
    </xf>
    <xf numFmtId="0" fontId="19" fillId="7" borderId="31" xfId="0" applyFont="1" applyFill="1" applyBorder="1" applyAlignment="1">
      <alignment horizontal="center" vertical="center" wrapText="1"/>
    </xf>
    <xf numFmtId="0" fontId="0" fillId="7" borderId="23" xfId="3" applyFont="1" applyFill="1" applyBorder="1" applyAlignment="1">
      <alignment horizontal="center"/>
    </xf>
    <xf numFmtId="0" fontId="0" fillId="7" borderId="24" xfId="3" applyFont="1" applyFill="1" applyBorder="1" applyAlignment="1">
      <alignment horizontal="center"/>
    </xf>
    <xf numFmtId="0" fontId="0" fillId="7" borderId="25" xfId="3" applyFont="1" applyFill="1" applyBorder="1" applyAlignment="1">
      <alignment horizontal="center"/>
    </xf>
    <xf numFmtId="165" fontId="2" fillId="7" borderId="46" xfId="3" applyNumberFormat="1" applyFont="1" applyFill="1" applyBorder="1" applyAlignment="1">
      <alignment horizontal="center" vertical="center"/>
    </xf>
    <xf numFmtId="165" fontId="2" fillId="7" borderId="15" xfId="3" applyNumberFormat="1" applyFont="1" applyFill="1" applyBorder="1" applyAlignment="1">
      <alignment horizontal="center" vertical="center"/>
    </xf>
    <xf numFmtId="165" fontId="2" fillId="7" borderId="47" xfId="3" applyNumberFormat="1" applyFont="1" applyFill="1" applyBorder="1" applyAlignment="1">
      <alignment horizontal="center" vertical="center"/>
    </xf>
    <xf numFmtId="0" fontId="19" fillId="7" borderId="35" xfId="3" applyFont="1" applyFill="1" applyBorder="1" applyAlignment="1">
      <alignment horizontal="center"/>
    </xf>
    <xf numFmtId="0" fontId="19" fillId="7" borderId="36" xfId="3" applyFont="1" applyFill="1" applyBorder="1" applyAlignment="1">
      <alignment horizontal="center"/>
    </xf>
    <xf numFmtId="0" fontId="19" fillId="7" borderId="49" xfId="3" applyFont="1" applyFill="1" applyBorder="1" applyAlignment="1">
      <alignment horizontal="center"/>
    </xf>
    <xf numFmtId="165" fontId="2" fillId="7" borderId="1" xfId="3" applyNumberFormat="1" applyFont="1" applyFill="1" applyBorder="1" applyAlignment="1">
      <alignment horizontal="center" vertical="center"/>
    </xf>
    <xf numFmtId="165" fontId="2" fillId="7" borderId="2" xfId="3" applyNumberFormat="1" applyFont="1" applyFill="1" applyBorder="1" applyAlignment="1">
      <alignment horizontal="center" vertical="center"/>
    </xf>
    <xf numFmtId="165" fontId="2" fillId="7" borderId="3" xfId="3" applyNumberFormat="1" applyFont="1" applyFill="1" applyBorder="1" applyAlignment="1">
      <alignment horizontal="center" vertical="center"/>
    </xf>
    <xf numFmtId="4" fontId="48" fillId="4" borderId="1" xfId="13" applyNumberFormat="1" applyFont="1" applyFill="1" applyBorder="1" applyAlignment="1">
      <alignment horizontal="center" vertical="center" wrapText="1"/>
    </xf>
    <xf numFmtId="4" fontId="48" fillId="4" borderId="2" xfId="13" applyNumberFormat="1" applyFont="1" applyFill="1" applyBorder="1" applyAlignment="1">
      <alignment horizontal="center" vertical="center" wrapText="1"/>
    </xf>
    <xf numFmtId="4" fontId="48" fillId="4" borderId="3" xfId="13" applyNumberFormat="1" applyFont="1" applyFill="1" applyBorder="1" applyAlignment="1">
      <alignment horizontal="center" vertical="center" wrapText="1"/>
    </xf>
    <xf numFmtId="0" fontId="24" fillId="7" borderId="1" xfId="13" applyFont="1" applyFill="1" applyBorder="1" applyAlignment="1">
      <alignment horizontal="center"/>
    </xf>
    <xf numFmtId="0" fontId="24" fillId="7" borderId="2" xfId="13" applyFont="1" applyFill="1" applyBorder="1" applyAlignment="1">
      <alignment horizontal="center"/>
    </xf>
    <xf numFmtId="0" fontId="24" fillId="7" borderId="3" xfId="13" applyFont="1" applyFill="1" applyBorder="1" applyAlignment="1">
      <alignment horizontal="center"/>
    </xf>
    <xf numFmtId="0" fontId="25" fillId="7" borderId="20" xfId="0" applyFont="1" applyFill="1" applyBorder="1" applyAlignment="1">
      <alignment horizontal="left"/>
    </xf>
    <xf numFmtId="0" fontId="25" fillId="7" borderId="21" xfId="0" applyFont="1" applyFill="1" applyBorder="1" applyAlignment="1">
      <alignment horizontal="left"/>
    </xf>
    <xf numFmtId="0" fontId="47" fillId="4" borderId="1" xfId="0" applyFont="1" applyFill="1" applyBorder="1" applyAlignment="1">
      <alignment horizontal="center"/>
    </xf>
    <xf numFmtId="0" fontId="47" fillId="4" borderId="2" xfId="0" applyFont="1" applyFill="1" applyBorder="1" applyAlignment="1">
      <alignment horizontal="center"/>
    </xf>
    <xf numFmtId="0" fontId="26" fillId="7" borderId="26" xfId="13" applyFont="1" applyFill="1" applyBorder="1" applyAlignment="1">
      <alignment horizontal="center"/>
    </xf>
    <xf numFmtId="0" fontId="26" fillId="7" borderId="6" xfId="13" applyFont="1" applyFill="1" applyBorder="1" applyAlignment="1">
      <alignment horizontal="center"/>
    </xf>
    <xf numFmtId="0" fontId="47" fillId="4" borderId="17" xfId="0" applyFont="1" applyFill="1" applyBorder="1" applyAlignment="1">
      <alignment horizontal="center" vertical="center" wrapText="1"/>
    </xf>
    <xf numFmtId="0" fontId="47" fillId="4" borderId="18" xfId="0" applyFont="1" applyFill="1" applyBorder="1" applyAlignment="1">
      <alignment horizontal="center" vertical="center" wrapText="1"/>
    </xf>
    <xf numFmtId="0" fontId="47" fillId="4" borderId="19" xfId="0" applyFont="1" applyFill="1" applyBorder="1" applyAlignment="1">
      <alignment horizontal="center" vertical="center" wrapText="1"/>
    </xf>
    <xf numFmtId="0" fontId="47" fillId="4" borderId="42" xfId="0" applyFont="1" applyFill="1" applyBorder="1" applyAlignment="1">
      <alignment horizontal="center" vertical="center" wrapText="1"/>
    </xf>
    <xf numFmtId="0" fontId="47" fillId="4" borderId="0" xfId="0" applyFont="1" applyFill="1" applyBorder="1" applyAlignment="1">
      <alignment horizontal="center" vertical="center" wrapText="1"/>
    </xf>
    <xf numFmtId="0" fontId="47" fillId="4" borderId="39" xfId="0" applyFont="1" applyFill="1" applyBorder="1" applyAlignment="1">
      <alignment horizontal="center" vertical="center" wrapText="1"/>
    </xf>
    <xf numFmtId="0" fontId="47" fillId="4" borderId="20" xfId="0" applyFont="1" applyFill="1" applyBorder="1" applyAlignment="1">
      <alignment horizontal="center" vertical="center" wrapText="1"/>
    </xf>
    <xf numFmtId="0" fontId="47" fillId="4" borderId="21" xfId="0" applyFont="1" applyFill="1" applyBorder="1" applyAlignment="1">
      <alignment horizontal="center" vertical="center" wrapText="1"/>
    </xf>
    <xf numFmtId="0" fontId="47" fillId="4" borderId="22" xfId="0" applyFont="1" applyFill="1" applyBorder="1" applyAlignment="1">
      <alignment horizontal="center" vertical="center" wrapText="1"/>
    </xf>
    <xf numFmtId="0" fontId="47" fillId="7" borderId="42" xfId="0" applyFont="1" applyFill="1" applyBorder="1" applyAlignment="1">
      <alignment horizontal="left"/>
    </xf>
    <xf numFmtId="0" fontId="47" fillId="7" borderId="0" xfId="0" applyFont="1" applyFill="1" applyBorder="1" applyAlignment="1">
      <alignment horizontal="left"/>
    </xf>
    <xf numFmtId="0" fontId="47" fillId="7" borderId="39" xfId="0" applyFont="1" applyFill="1" applyBorder="1" applyAlignment="1">
      <alignment horizontal="left"/>
    </xf>
    <xf numFmtId="0" fontId="47" fillId="7" borderId="42" xfId="0" applyFont="1" applyFill="1" applyBorder="1" applyAlignment="1">
      <alignment horizontal="left" vertical="center" wrapText="1"/>
    </xf>
    <xf numFmtId="0" fontId="47" fillId="7" borderId="0" xfId="0" applyFont="1" applyFill="1" applyBorder="1" applyAlignment="1">
      <alignment horizontal="left" vertical="center" wrapText="1"/>
    </xf>
    <xf numFmtId="0" fontId="47" fillId="7" borderId="39" xfId="0" applyFont="1" applyFill="1" applyBorder="1" applyAlignment="1">
      <alignment horizontal="left" vertical="center" wrapText="1"/>
    </xf>
    <xf numFmtId="0" fontId="47" fillId="7" borderId="42" xfId="0" applyFont="1" applyFill="1" applyBorder="1" applyAlignment="1">
      <alignment horizontal="center"/>
    </xf>
    <xf numFmtId="0" fontId="47" fillId="7" borderId="0" xfId="0" applyFont="1" applyFill="1" applyBorder="1" applyAlignment="1">
      <alignment horizontal="center"/>
    </xf>
    <xf numFmtId="0" fontId="47" fillId="7" borderId="39" xfId="0" applyFont="1" applyFill="1" applyBorder="1" applyAlignment="1">
      <alignment horizontal="center"/>
    </xf>
    <xf numFmtId="0" fontId="25" fillId="7" borderId="35" xfId="0" applyFont="1" applyFill="1" applyBorder="1" applyAlignment="1">
      <alignment horizontal="center"/>
    </xf>
    <xf numFmtId="0" fontId="25" fillId="7" borderId="36" xfId="0" applyFont="1" applyFill="1" applyBorder="1" applyAlignment="1">
      <alignment horizontal="center"/>
    </xf>
    <xf numFmtId="0" fontId="25" fillId="7" borderId="49" xfId="0" applyFont="1" applyFill="1" applyBorder="1" applyAlignment="1">
      <alignment horizontal="center"/>
    </xf>
    <xf numFmtId="0" fontId="25" fillId="7" borderId="0" xfId="0" applyFont="1" applyFill="1" applyBorder="1" applyAlignment="1">
      <alignment horizontal="center" vertical="center"/>
    </xf>
    <xf numFmtId="0" fontId="51" fillId="7" borderId="42" xfId="0" applyFont="1" applyFill="1" applyBorder="1" applyAlignment="1">
      <alignment horizontal="center"/>
    </xf>
    <xf numFmtId="0" fontId="51" fillId="7" borderId="0" xfId="0" applyFont="1" applyFill="1" applyBorder="1" applyAlignment="1">
      <alignment horizontal="center"/>
    </xf>
    <xf numFmtId="0" fontId="51" fillId="7" borderId="39" xfId="0" applyFont="1" applyFill="1" applyBorder="1" applyAlignment="1">
      <alignment horizontal="center"/>
    </xf>
    <xf numFmtId="0" fontId="1" fillId="7" borderId="26" xfId="0" applyFont="1" applyFill="1" applyBorder="1" applyAlignment="1">
      <alignment horizontal="center" wrapText="1"/>
    </xf>
    <xf numFmtId="0" fontId="1" fillId="7" borderId="6" xfId="0" applyFont="1" applyFill="1" applyBorder="1" applyAlignment="1">
      <alignment horizontal="center" wrapText="1"/>
    </xf>
    <xf numFmtId="0" fontId="1" fillId="7" borderId="27" xfId="0" applyFont="1" applyFill="1" applyBorder="1" applyAlignment="1">
      <alignment horizontal="center" wrapText="1"/>
    </xf>
    <xf numFmtId="0" fontId="23" fillId="7" borderId="26" xfId="37" applyFill="1" applyBorder="1" applyAlignment="1">
      <alignment horizontal="center" wrapText="1"/>
    </xf>
    <xf numFmtId="0" fontId="23" fillId="7" borderId="6" xfId="37" applyFill="1" applyBorder="1" applyAlignment="1">
      <alignment horizontal="center" wrapText="1"/>
    </xf>
    <xf numFmtId="0" fontId="23" fillId="7" borderId="27" xfId="37" applyFill="1" applyBorder="1" applyAlignment="1">
      <alignment horizontal="center" wrapText="1"/>
    </xf>
    <xf numFmtId="165" fontId="2" fillId="7" borderId="33" xfId="3" applyNumberFormat="1" applyFont="1" applyFill="1" applyBorder="1" applyAlignment="1">
      <alignment horizontal="center" vertical="center"/>
    </xf>
    <xf numFmtId="165" fontId="2" fillId="7" borderId="9" xfId="3" applyNumberFormat="1" applyFont="1" applyFill="1" applyBorder="1" applyAlignment="1">
      <alignment horizontal="center" vertical="center"/>
    </xf>
    <xf numFmtId="165" fontId="2" fillId="7" borderId="45" xfId="3" applyNumberFormat="1" applyFont="1" applyFill="1" applyBorder="1" applyAlignment="1">
      <alignment horizontal="center" vertical="center"/>
    </xf>
    <xf numFmtId="4" fontId="34" fillId="5" borderId="1" xfId="13" applyNumberFormat="1" applyFont="1" applyFill="1" applyBorder="1" applyAlignment="1">
      <alignment horizontal="center" vertical="center"/>
    </xf>
    <xf numFmtId="4" fontId="34" fillId="5" borderId="2" xfId="13" applyNumberFormat="1" applyFont="1" applyFill="1" applyBorder="1" applyAlignment="1">
      <alignment horizontal="center" vertical="center"/>
    </xf>
    <xf numFmtId="4" fontId="34" fillId="5" borderId="3" xfId="13" applyNumberFormat="1" applyFont="1" applyFill="1" applyBorder="1" applyAlignment="1">
      <alignment horizontal="center" vertical="center"/>
    </xf>
    <xf numFmtId="0" fontId="27" fillId="4" borderId="39" xfId="3" applyFont="1" applyFill="1" applyBorder="1" applyAlignment="1">
      <alignment horizontal="center"/>
    </xf>
    <xf numFmtId="0" fontId="52" fillId="4" borderId="28" xfId="3" applyFont="1" applyFill="1" applyBorder="1" applyAlignment="1">
      <alignment horizontal="right" vertical="center" indent="1"/>
    </xf>
    <xf numFmtId="0" fontId="52" fillId="4" borderId="29" xfId="3" applyFont="1" applyFill="1" applyBorder="1" applyAlignment="1">
      <alignment horizontal="right" vertical="center" indent="1"/>
    </xf>
    <xf numFmtId="4" fontId="32" fillId="4" borderId="17" xfId="13" applyNumberFormat="1" applyFont="1" applyFill="1" applyBorder="1" applyAlignment="1">
      <alignment horizontal="left" vertical="center" wrapText="1"/>
    </xf>
    <xf numFmtId="4" fontId="32" fillId="4" borderId="18" xfId="13" applyNumberFormat="1" applyFont="1" applyFill="1" applyBorder="1" applyAlignment="1">
      <alignment horizontal="left" vertical="center" wrapText="1"/>
    </xf>
    <xf numFmtId="165" fontId="53" fillId="4" borderId="59" xfId="3" applyNumberFormat="1" applyFont="1" applyFill="1" applyBorder="1" applyAlignment="1">
      <alignment horizontal="center" vertical="center"/>
    </xf>
    <xf numFmtId="165" fontId="53" fillId="4" borderId="60" xfId="3" applyNumberFormat="1" applyFont="1" applyFill="1" applyBorder="1" applyAlignment="1">
      <alignment horizontal="center" vertical="center"/>
    </xf>
    <xf numFmtId="165" fontId="53" fillId="4" borderId="42" xfId="3" applyNumberFormat="1" applyFont="1" applyFill="1" applyBorder="1" applyAlignment="1">
      <alignment horizontal="center" vertical="center"/>
    </xf>
    <xf numFmtId="165" fontId="53" fillId="4" borderId="20" xfId="3" applyNumberFormat="1" applyFont="1" applyFill="1" applyBorder="1" applyAlignment="1">
      <alignment horizontal="center" vertical="center"/>
    </xf>
    <xf numFmtId="0" fontId="26" fillId="4" borderId="24" xfId="3" applyFont="1" applyFill="1" applyBorder="1" applyAlignment="1">
      <alignment horizontal="center" vertical="center" wrapText="1"/>
    </xf>
    <xf numFmtId="0" fontId="26" fillId="4" borderId="6" xfId="3" applyFont="1" applyFill="1" applyBorder="1" applyAlignment="1">
      <alignment horizontal="center" vertical="center" wrapText="1"/>
    </xf>
    <xf numFmtId="0" fontId="27" fillId="4" borderId="23" xfId="3" applyFont="1" applyFill="1" applyBorder="1" applyAlignment="1">
      <alignment horizontal="center" vertical="center"/>
    </xf>
    <xf numFmtId="0" fontId="27" fillId="4" borderId="26" xfId="3" applyFont="1" applyFill="1" applyBorder="1" applyAlignment="1">
      <alignment horizontal="center" vertical="center"/>
    </xf>
    <xf numFmtId="44" fontId="26" fillId="4" borderId="24" xfId="3" applyNumberFormat="1" applyFont="1" applyFill="1" applyBorder="1" applyAlignment="1">
      <alignment horizontal="center" vertical="center" wrapText="1"/>
    </xf>
    <xf numFmtId="44" fontId="26" fillId="4" borderId="6" xfId="3" applyNumberFormat="1" applyFont="1" applyFill="1" applyBorder="1" applyAlignment="1">
      <alignment horizontal="center" vertical="center" wrapText="1"/>
    </xf>
    <xf numFmtId="4" fontId="32" fillId="4" borderId="1" xfId="13" applyNumberFormat="1" applyFont="1" applyFill="1" applyBorder="1" applyAlignment="1">
      <alignment horizontal="left" vertical="center" wrapText="1"/>
    </xf>
    <xf numFmtId="4" fontId="32" fillId="4" borderId="2" xfId="13" applyNumberFormat="1" applyFont="1" applyFill="1" applyBorder="1" applyAlignment="1">
      <alignment horizontal="left" vertical="center" wrapText="1"/>
    </xf>
    <xf numFmtId="4" fontId="32" fillId="4" borderId="3" xfId="13" applyNumberFormat="1" applyFont="1" applyFill="1" applyBorder="1" applyAlignment="1">
      <alignment horizontal="left" vertical="center" wrapText="1"/>
    </xf>
    <xf numFmtId="4" fontId="32" fillId="4" borderId="20" xfId="13" applyNumberFormat="1" applyFont="1" applyFill="1" applyBorder="1" applyAlignment="1">
      <alignment horizontal="left" vertical="center"/>
    </xf>
    <xf numFmtId="4" fontId="32" fillId="4" borderId="21" xfId="13" applyNumberFormat="1" applyFont="1" applyFill="1" applyBorder="1" applyAlignment="1">
      <alignment horizontal="left" vertical="center"/>
    </xf>
    <xf numFmtId="4" fontId="32" fillId="4" borderId="22" xfId="13" applyNumberFormat="1" applyFont="1" applyFill="1" applyBorder="1" applyAlignment="1">
      <alignment horizontal="left" vertical="center"/>
    </xf>
    <xf numFmtId="10" fontId="26" fillId="4" borderId="80" xfId="3" applyNumberFormat="1" applyFont="1" applyFill="1" applyBorder="1" applyAlignment="1">
      <alignment horizontal="center" vertical="center"/>
    </xf>
    <xf numFmtId="10" fontId="26" fillId="4" borderId="12" xfId="3" applyNumberFormat="1" applyFont="1" applyFill="1" applyBorder="1" applyAlignment="1">
      <alignment horizontal="center" vertical="center"/>
    </xf>
    <xf numFmtId="10" fontId="26" fillId="4" borderId="14" xfId="3" applyNumberFormat="1" applyFont="1" applyFill="1" applyBorder="1" applyAlignment="1">
      <alignment horizontal="center" vertical="center"/>
    </xf>
    <xf numFmtId="4" fontId="46" fillId="5" borderId="17" xfId="13" applyNumberFormat="1" applyFont="1" applyFill="1" applyBorder="1" applyAlignment="1">
      <alignment horizontal="center" vertical="center"/>
    </xf>
    <xf numFmtId="4" fontId="46" fillId="5" borderId="18" xfId="13" applyNumberFormat="1" applyFont="1" applyFill="1" applyBorder="1" applyAlignment="1">
      <alignment horizontal="center" vertical="center"/>
    </xf>
    <xf numFmtId="4" fontId="46" fillId="5" borderId="19" xfId="13" applyNumberFormat="1" applyFont="1" applyFill="1" applyBorder="1" applyAlignment="1">
      <alignment horizontal="center" vertical="center"/>
    </xf>
    <xf numFmtId="4" fontId="46" fillId="5" borderId="20" xfId="13" applyNumberFormat="1" applyFont="1" applyFill="1" applyBorder="1" applyAlignment="1">
      <alignment horizontal="center" vertical="center"/>
    </xf>
    <xf numFmtId="4" fontId="46" fillId="5" borderId="21" xfId="13" applyNumberFormat="1" applyFont="1" applyFill="1" applyBorder="1" applyAlignment="1">
      <alignment horizontal="center" vertical="center"/>
    </xf>
    <xf numFmtId="4" fontId="46" fillId="5" borderId="22" xfId="13" applyNumberFormat="1" applyFont="1" applyFill="1" applyBorder="1" applyAlignment="1">
      <alignment horizontal="center" vertical="center"/>
    </xf>
    <xf numFmtId="0" fontId="52" fillId="4" borderId="42" xfId="3" applyFont="1" applyFill="1" applyBorder="1" applyAlignment="1">
      <alignment horizontal="center" vertical="center"/>
    </xf>
    <xf numFmtId="0" fontId="52" fillId="4" borderId="11" xfId="3" applyFont="1" applyFill="1" applyBorder="1" applyAlignment="1">
      <alignment horizontal="center" vertical="center"/>
    </xf>
    <xf numFmtId="0" fontId="52" fillId="4" borderId="20" xfId="3" applyFont="1" applyFill="1" applyBorder="1" applyAlignment="1">
      <alignment horizontal="center" vertical="center"/>
    </xf>
    <xf numFmtId="0" fontId="52" fillId="4" borderId="92" xfId="3" applyFont="1" applyFill="1" applyBorder="1" applyAlignment="1">
      <alignment horizontal="center" vertical="center"/>
    </xf>
    <xf numFmtId="44" fontId="52" fillId="4" borderId="70" xfId="3" applyNumberFormat="1" applyFont="1" applyFill="1" applyBorder="1" applyAlignment="1">
      <alignment horizontal="center" vertical="center"/>
    </xf>
    <xf numFmtId="44" fontId="52" fillId="4" borderId="66" xfId="3" applyNumberFormat="1" applyFont="1" applyFill="1" applyBorder="1" applyAlignment="1">
      <alignment horizontal="center" vertical="center"/>
    </xf>
    <xf numFmtId="10" fontId="52" fillId="4" borderId="76" xfId="3" applyNumberFormat="1" applyFont="1" applyFill="1" applyBorder="1" applyAlignment="1">
      <alignment horizontal="center" vertical="center"/>
    </xf>
    <xf numFmtId="10" fontId="52" fillId="4" borderId="67" xfId="3" applyNumberFormat="1" applyFont="1" applyFill="1" applyBorder="1" applyAlignment="1">
      <alignment horizontal="center" vertical="center"/>
    </xf>
    <xf numFmtId="0" fontId="27" fillId="4" borderId="40" xfId="3" applyFont="1" applyFill="1" applyBorder="1" applyAlignment="1">
      <alignment horizontal="center" vertical="center"/>
    </xf>
    <xf numFmtId="0" fontId="26" fillId="4" borderId="6" xfId="3" applyFont="1" applyFill="1" applyBorder="1" applyAlignment="1">
      <alignment horizontal="center" vertical="center"/>
    </xf>
    <xf numFmtId="0" fontId="26" fillId="4" borderId="31" xfId="3" applyFont="1" applyFill="1" applyBorder="1" applyAlignment="1">
      <alignment horizontal="center" vertical="center"/>
    </xf>
    <xf numFmtId="44" fontId="26" fillId="4" borderId="31" xfId="3" applyNumberFormat="1" applyFont="1" applyFill="1" applyBorder="1" applyAlignment="1">
      <alignment horizontal="center" vertical="center" wrapText="1"/>
    </xf>
    <xf numFmtId="10" fontId="26" fillId="4" borderId="93" xfId="3" applyNumberFormat="1" applyFont="1" applyFill="1" applyBorder="1" applyAlignment="1">
      <alignment horizontal="center" vertical="center"/>
    </xf>
  </cellXfs>
  <cellStyles count="38">
    <cellStyle name="Hiperlink" xfId="37" builtinId="8"/>
    <cellStyle name="Moeda" xfId="15" builtinId="4"/>
    <cellStyle name="Moeda 10" xfId="23" xr:uid="{C63321FB-0B0C-46C1-BF8F-7F67ADF5D82C}"/>
    <cellStyle name="Moeda 2" xfId="12" xr:uid="{E832A35A-7566-47D2-8A9D-B417D9CBB282}"/>
    <cellStyle name="Moeda 2 2 2" xfId="31" xr:uid="{0F1578EC-6DF8-41E3-8BD2-31C12A52265A}"/>
    <cellStyle name="Moeda 3" xfId="17" xr:uid="{6270E955-681B-4E20-852E-E511D2649587}"/>
    <cellStyle name="Moeda 3 3" xfId="34" xr:uid="{AE36EF3F-5FF6-466A-86E4-4FFC52F9849E}"/>
    <cellStyle name="Moeda 3 4" xfId="28" xr:uid="{F7141AB0-FD31-45D9-9C10-CD379108EA71}"/>
    <cellStyle name="Moeda 4 2" xfId="4" xr:uid="{C97649BE-6E62-412A-8DB3-CB0CD1EFAA9F}"/>
    <cellStyle name="Moeda 5" xfId="20" xr:uid="{2C64E731-A744-4D05-8820-B69537EF956C}"/>
    <cellStyle name="Moeda 5 2" xfId="25" xr:uid="{3C6FA763-B4A8-432C-8939-8F5A16AFCC03}"/>
    <cellStyle name="Moeda 5 2 2" xfId="35" xr:uid="{2BEAC404-D7E0-40CC-8151-6ECF3426D603}"/>
    <cellStyle name="Moeda 9" xfId="8" xr:uid="{434C934F-12CE-40D8-AC21-7B182FB5D027}"/>
    <cellStyle name="Normal" xfId="0" builtinId="0"/>
    <cellStyle name="Normal 10" xfId="21" xr:uid="{DDDB749D-50E3-4F65-980B-9D7F7A332ED6}"/>
    <cellStyle name="Normal 2 2 2" xfId="13" xr:uid="{73094A7F-FD62-454D-9059-89C0FE0DE579}"/>
    <cellStyle name="Normal 2 2 2 2" xfId="3" xr:uid="{6A90371E-8D8B-4F63-8CFB-22854EA2E2C3}"/>
    <cellStyle name="Normal 2 2 5" xfId="22" xr:uid="{7404A240-A598-451F-8C03-80F605D95F18}"/>
    <cellStyle name="Normal 2 3" xfId="33" xr:uid="{1051966B-DDBD-47D4-B1D0-BBD6CC779640}"/>
    <cellStyle name="Normal 3 2" xfId="6" xr:uid="{E6858643-D531-4953-AD6A-A9ADDBC24E68}"/>
    <cellStyle name="Normal 3 2 2" xfId="29" xr:uid="{B47BD193-3D97-4D75-A1E8-480A0FB3D15A}"/>
    <cellStyle name="Normal 3 3" xfId="2" xr:uid="{C0077AFF-4941-4AD8-BB1E-CCF59B6BA978}"/>
    <cellStyle name="Normal 32" xfId="16" xr:uid="{C23F831F-5CC1-43FB-BE35-B0B578792844}"/>
    <cellStyle name="Normal 32 3" xfId="27" xr:uid="{397B6FEC-C7CF-4DA5-A85D-97D7988309EC}"/>
    <cellStyle name="Normal 4" xfId="18" xr:uid="{375272E3-C925-4A3A-81E4-E1C78ED0BED9}"/>
    <cellStyle name="Normal 4 2 2" xfId="36" xr:uid="{C0337B4C-956D-4E63-9E95-FE560073F764}"/>
    <cellStyle name="Normal 7" xfId="9" xr:uid="{66C1054E-D6B3-44B3-B0D4-CC1CF3954C97}"/>
    <cellStyle name="Normal 9" xfId="32" xr:uid="{C3E8558F-D31B-4E68-8F6F-6905D444673C}"/>
    <cellStyle name="Porcentagem" xfId="1" builtinId="5"/>
    <cellStyle name="Porcentagem 12" xfId="30" xr:uid="{3760D452-DB30-4803-B598-131DD965228F}"/>
    <cellStyle name="Porcentagem 2 2" xfId="14" xr:uid="{66B98F82-E954-4392-84E0-37155BE05F21}"/>
    <cellStyle name="Porcentagem 3" xfId="5" xr:uid="{79048257-9E7F-46C8-9D49-E66641C9452E}"/>
    <cellStyle name="Porcentagem 5" xfId="19" xr:uid="{3D322209-FCD9-478B-810F-BAB4A40C77C1}"/>
    <cellStyle name="Porcentagem 5 2" xfId="24" xr:uid="{0F3C1B90-3784-4384-A0CA-4A7846FF96D0}"/>
    <cellStyle name="Porcentagem 9" xfId="7" xr:uid="{3D232022-095E-4406-82F7-8A1F6F46E47F}"/>
    <cellStyle name="Texto Explicativo 2" xfId="10" xr:uid="{F44F3A4E-D6EA-455B-9232-548AD964B5FD}"/>
    <cellStyle name="Vírgula 2 2" xfId="11" xr:uid="{01C677AF-25EE-4159-B470-3FA2BBA15038}"/>
    <cellStyle name="Vírgula 2 2 3" xfId="26" xr:uid="{E594B31D-6F81-4E5C-91B3-F68326516DA5}"/>
  </cellStyles>
  <dxfs count="54">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rgb="FFFFFF00"/>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rgb="FFFFFF00"/>
        </patternFill>
      </fill>
    </dxf>
    <dxf>
      <fill>
        <patternFill>
          <bgColor theme="0" tint="-4.9989318521683403E-2"/>
        </patternFill>
      </fill>
    </dxf>
    <dxf>
      <fill>
        <patternFill>
          <bgColor theme="0" tint="-4.9989318521683403E-2"/>
        </patternFill>
      </fill>
    </dxf>
    <dxf>
      <fill>
        <patternFill>
          <bgColor rgb="FFFFFF00"/>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rgb="FFFAFAFA"/>
        </patternFill>
      </fill>
    </dxf>
    <dxf>
      <fill>
        <patternFill>
          <bgColor theme="0" tint="-4.9989318521683403E-2"/>
        </patternFill>
      </fill>
    </dxf>
    <dxf>
      <fill>
        <patternFill>
          <bgColor theme="0" tint="-4.9989318521683403E-2"/>
        </patternFill>
      </fill>
    </dxf>
    <dxf>
      <fill>
        <patternFill>
          <bgColor rgb="FFFFFF00"/>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rgb="FFFAFAFA"/>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s>
  <tableStyles count="0" defaultTableStyle="TableStyleMedium2" defaultPivotStyle="PivotStyleLight16"/>
  <colors>
    <mruColors>
      <color rgb="FFFAFAFA"/>
      <color rgb="FFFFFFCC"/>
      <color rgb="FFFFD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59" Type="http://schemas.microsoft.com/office/2022/10/relationships/richValueRel" Target="richData/richValueRel.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s>
</file>

<file path=xl/drawings/_rels/drawing13.xml.rels><?xml version="1.0" encoding="UTF-8" standalone="yes"?>
<Relationships xmlns="http://schemas.openxmlformats.org/package/2006/relationships"><Relationship Id="rId3" Type="http://schemas.openxmlformats.org/officeDocument/2006/relationships/image" Target="../media/image35.png"/><Relationship Id="rId2" Type="http://schemas.openxmlformats.org/officeDocument/2006/relationships/image" Target="../media/image34.png"/><Relationship Id="rId1" Type="http://schemas.openxmlformats.org/officeDocument/2006/relationships/image" Target="../media/image33.png"/><Relationship Id="rId5" Type="http://schemas.openxmlformats.org/officeDocument/2006/relationships/image" Target="../media/image37.png"/><Relationship Id="rId4" Type="http://schemas.openxmlformats.org/officeDocument/2006/relationships/image" Target="../media/image36.png"/></Relationships>
</file>

<file path=xl/drawings/_rels/drawing15.xml.rels><?xml version="1.0" encoding="UTF-8" standalone="yes"?>
<Relationships xmlns="http://schemas.openxmlformats.org/package/2006/relationships"><Relationship Id="rId8" Type="http://schemas.openxmlformats.org/officeDocument/2006/relationships/image" Target="../media/image45.png"/><Relationship Id="rId13" Type="http://schemas.openxmlformats.org/officeDocument/2006/relationships/image" Target="../media/image50.png"/><Relationship Id="rId3" Type="http://schemas.openxmlformats.org/officeDocument/2006/relationships/image" Target="../media/image40.png"/><Relationship Id="rId7" Type="http://schemas.openxmlformats.org/officeDocument/2006/relationships/image" Target="../media/image44.png"/><Relationship Id="rId12" Type="http://schemas.openxmlformats.org/officeDocument/2006/relationships/image" Target="../media/image49.png"/><Relationship Id="rId2" Type="http://schemas.openxmlformats.org/officeDocument/2006/relationships/image" Target="../media/image39.png"/><Relationship Id="rId1" Type="http://schemas.openxmlformats.org/officeDocument/2006/relationships/image" Target="../media/image38.png"/><Relationship Id="rId6" Type="http://schemas.openxmlformats.org/officeDocument/2006/relationships/image" Target="../media/image43.png"/><Relationship Id="rId11" Type="http://schemas.openxmlformats.org/officeDocument/2006/relationships/image" Target="../media/image48.png"/><Relationship Id="rId5" Type="http://schemas.openxmlformats.org/officeDocument/2006/relationships/image" Target="../media/image42.png"/><Relationship Id="rId10" Type="http://schemas.openxmlformats.org/officeDocument/2006/relationships/image" Target="../media/image47.png"/><Relationship Id="rId4" Type="http://schemas.openxmlformats.org/officeDocument/2006/relationships/image" Target="../media/image41.png"/><Relationship Id="rId9" Type="http://schemas.openxmlformats.org/officeDocument/2006/relationships/image" Target="../media/image46.png"/><Relationship Id="rId14" Type="http://schemas.openxmlformats.org/officeDocument/2006/relationships/image" Target="../media/image51.png"/></Relationships>
</file>

<file path=xl/drawings/_rels/drawing3.xml.rels><?xml version="1.0" encoding="UTF-8" standalone="yes"?>
<Relationships xmlns="http://schemas.openxmlformats.org/package/2006/relationships"><Relationship Id="rId8" Type="http://schemas.openxmlformats.org/officeDocument/2006/relationships/image" Target="../media/image13.png"/><Relationship Id="rId13" Type="http://schemas.openxmlformats.org/officeDocument/2006/relationships/image" Target="../media/image18.png"/><Relationship Id="rId18" Type="http://schemas.openxmlformats.org/officeDocument/2006/relationships/image" Target="../media/image23.png"/><Relationship Id="rId3" Type="http://schemas.openxmlformats.org/officeDocument/2006/relationships/image" Target="../media/image8.png"/><Relationship Id="rId21" Type="http://schemas.openxmlformats.org/officeDocument/2006/relationships/image" Target="../media/image26.png"/><Relationship Id="rId7" Type="http://schemas.openxmlformats.org/officeDocument/2006/relationships/image" Target="../media/image12.png"/><Relationship Id="rId12" Type="http://schemas.openxmlformats.org/officeDocument/2006/relationships/image" Target="../media/image17.png"/><Relationship Id="rId17" Type="http://schemas.openxmlformats.org/officeDocument/2006/relationships/image" Target="../media/image22.png"/><Relationship Id="rId2" Type="http://schemas.openxmlformats.org/officeDocument/2006/relationships/image" Target="../media/image7.png"/><Relationship Id="rId16" Type="http://schemas.openxmlformats.org/officeDocument/2006/relationships/image" Target="../media/image21.png"/><Relationship Id="rId20" Type="http://schemas.openxmlformats.org/officeDocument/2006/relationships/image" Target="../media/image25.png"/><Relationship Id="rId1" Type="http://schemas.openxmlformats.org/officeDocument/2006/relationships/image" Target="../media/image6.png"/><Relationship Id="rId6" Type="http://schemas.openxmlformats.org/officeDocument/2006/relationships/image" Target="../media/image11.png"/><Relationship Id="rId11" Type="http://schemas.openxmlformats.org/officeDocument/2006/relationships/image" Target="../media/image16.png"/><Relationship Id="rId5" Type="http://schemas.openxmlformats.org/officeDocument/2006/relationships/image" Target="../media/image10.png"/><Relationship Id="rId15" Type="http://schemas.openxmlformats.org/officeDocument/2006/relationships/image" Target="../media/image20.png"/><Relationship Id="rId10" Type="http://schemas.openxmlformats.org/officeDocument/2006/relationships/image" Target="../media/image15.png"/><Relationship Id="rId19" Type="http://schemas.openxmlformats.org/officeDocument/2006/relationships/image" Target="../media/image24.png"/><Relationship Id="rId4" Type="http://schemas.openxmlformats.org/officeDocument/2006/relationships/image" Target="../media/image9.png"/><Relationship Id="rId9" Type="http://schemas.openxmlformats.org/officeDocument/2006/relationships/image" Target="../media/image14.png"/><Relationship Id="rId14" Type="http://schemas.openxmlformats.org/officeDocument/2006/relationships/image" Target="../media/image19.png"/></Relationships>
</file>

<file path=xl/drawings/_rels/drawing5.xml.rels><?xml version="1.0" encoding="UTF-8" standalone="yes"?>
<Relationships xmlns="http://schemas.openxmlformats.org/package/2006/relationships"><Relationship Id="rId1" Type="http://schemas.openxmlformats.org/officeDocument/2006/relationships/image" Target="../media/image28.png"/></Relationships>
</file>

<file path=xl/drawings/_rels/drawing6.xml.rels><?xml version="1.0" encoding="UTF-8" standalone="yes"?>
<Relationships xmlns="http://schemas.openxmlformats.org/package/2006/relationships"><Relationship Id="rId1" Type="http://schemas.openxmlformats.org/officeDocument/2006/relationships/image" Target="../media/image28.png"/></Relationships>
</file>

<file path=xl/drawings/_rels/drawing7.xml.rels><?xml version="1.0" encoding="UTF-8" standalone="yes"?>
<Relationships xmlns="http://schemas.openxmlformats.org/package/2006/relationships"><Relationship Id="rId3" Type="http://schemas.openxmlformats.org/officeDocument/2006/relationships/image" Target="../media/image31.png"/><Relationship Id="rId2" Type="http://schemas.openxmlformats.org/officeDocument/2006/relationships/image" Target="../media/image30.png"/><Relationship Id="rId1" Type="http://schemas.openxmlformats.org/officeDocument/2006/relationships/image" Target="../media/image29.png"/><Relationship Id="rId4" Type="http://schemas.openxmlformats.org/officeDocument/2006/relationships/image" Target="../media/image32.png"/></Relationships>
</file>

<file path=xl/drawings/_rels/drawing8.xml.rels><?xml version="1.0" encoding="UTF-8" standalone="yes"?>
<Relationships xmlns="http://schemas.openxmlformats.org/package/2006/relationships"><Relationship Id="rId3" Type="http://schemas.openxmlformats.org/officeDocument/2006/relationships/image" Target="../media/image31.png"/><Relationship Id="rId2" Type="http://schemas.openxmlformats.org/officeDocument/2006/relationships/image" Target="../media/image30.png"/><Relationship Id="rId1" Type="http://schemas.openxmlformats.org/officeDocument/2006/relationships/image" Target="../media/image29.png"/><Relationship Id="rId4" Type="http://schemas.openxmlformats.org/officeDocument/2006/relationships/image" Target="../media/image3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1.vml.rels><?xml version="1.0" encoding="UTF-8" standalone="yes"?>
<Relationships xmlns="http://schemas.openxmlformats.org/package/2006/relationships"><Relationship Id="rId1" Type="http://schemas.openxmlformats.org/officeDocument/2006/relationships/image" Target="../media/image27.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3.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4.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5.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6.vml.rels><?xml version="1.0" encoding="UTF-8" standalone="yes"?>
<Relationships xmlns="http://schemas.openxmlformats.org/package/2006/relationships"><Relationship Id="rId1" Type="http://schemas.openxmlformats.org/officeDocument/2006/relationships/image" Target="../media/image27.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8.vml.rels><?xml version="1.0" encoding="UTF-8" standalone="yes"?>
<Relationships xmlns="http://schemas.openxmlformats.org/package/2006/relationships"><Relationship Id="rId1" Type="http://schemas.openxmlformats.org/officeDocument/2006/relationships/image" Target="../media/image27.png"/></Relationships>
</file>

<file path=xl/drawings/_rels/vmlDrawing19.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20.vml.rels><?xml version="1.0" encoding="UTF-8" standalone="yes"?>
<Relationships xmlns="http://schemas.openxmlformats.org/package/2006/relationships"><Relationship Id="rId1" Type="http://schemas.openxmlformats.org/officeDocument/2006/relationships/image" Target="../media/image27.png"/></Relationships>
</file>

<file path=xl/drawings/_rels/vmlDrawing2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2.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3.vml.rels><?xml version="1.0" encoding="UTF-8" standalone="yes"?>
<Relationships xmlns="http://schemas.openxmlformats.org/package/2006/relationships"><Relationship Id="rId1" Type="http://schemas.openxmlformats.org/officeDocument/2006/relationships/image" Target="../media/image27.png"/></Relationships>
</file>

<file path=xl/drawings/_rels/vmlDrawing24.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5.vml.rels><?xml version="1.0" encoding="UTF-8" standalone="yes"?>
<Relationships xmlns="http://schemas.openxmlformats.org/package/2006/relationships"><Relationship Id="rId1" Type="http://schemas.openxmlformats.org/officeDocument/2006/relationships/image" Target="../media/image27.png"/></Relationships>
</file>

<file path=xl/drawings/_rels/vmlDrawing26.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7.vml.rels><?xml version="1.0" encoding="UTF-8" standalone="yes"?>
<Relationships xmlns="http://schemas.openxmlformats.org/package/2006/relationships"><Relationship Id="rId1" Type="http://schemas.openxmlformats.org/officeDocument/2006/relationships/image" Target="../media/image27.png"/></Relationships>
</file>

<file path=xl/drawings/_rels/vmlDrawing28.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9.vml.rels><?xml version="1.0" encoding="UTF-8" standalone="yes"?>
<Relationships xmlns="http://schemas.openxmlformats.org/package/2006/relationships"><Relationship Id="rId1" Type="http://schemas.openxmlformats.org/officeDocument/2006/relationships/image" Target="../media/image27.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6.vml.rels><?xml version="1.0" encoding="UTF-8" standalone="yes"?>
<Relationships xmlns="http://schemas.openxmlformats.org/package/2006/relationships"><Relationship Id="rId1" Type="http://schemas.openxmlformats.org/officeDocument/2006/relationships/image" Target="../media/image27.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8.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9.vml.rels><?xml version="1.0" encoding="UTF-8" standalone="yes"?>
<Relationships xmlns="http://schemas.openxmlformats.org/package/2006/relationships"><Relationship Id="rId1" Type="http://schemas.openxmlformats.org/officeDocument/2006/relationships/image" Target="../media/image27.png"/></Relationships>
</file>

<file path=xl/drawings/drawing1.xml><?xml version="1.0" encoding="utf-8"?>
<xdr:wsDr xmlns:xdr="http://schemas.openxmlformats.org/drawingml/2006/spreadsheetDrawing" xmlns:a="http://schemas.openxmlformats.org/drawingml/2006/main">
  <xdr:twoCellAnchor>
    <xdr:from>
      <xdr:col>2</xdr:col>
      <xdr:colOff>285750</xdr:colOff>
      <xdr:row>9</xdr:row>
      <xdr:rowOff>58615</xdr:rowOff>
    </xdr:from>
    <xdr:to>
      <xdr:col>2</xdr:col>
      <xdr:colOff>483577</xdr:colOff>
      <xdr:row>9</xdr:row>
      <xdr:rowOff>146538</xdr:rowOff>
    </xdr:to>
    <xdr:sp macro="" textlink="">
      <xdr:nvSpPr>
        <xdr:cNvPr id="7" name="Seta: para a Direita 6">
          <a:extLst>
            <a:ext uri="{FF2B5EF4-FFF2-40B4-BE49-F238E27FC236}">
              <a16:creationId xmlns:a16="http://schemas.microsoft.com/office/drawing/2014/main" id="{00000000-0008-0000-0000-000007000000}"/>
            </a:ext>
          </a:extLst>
        </xdr:cNvPr>
        <xdr:cNvSpPr/>
      </xdr:nvSpPr>
      <xdr:spPr>
        <a:xfrm>
          <a:off x="4205654" y="2945423"/>
          <a:ext cx="197827" cy="87923"/>
        </a:xfrm>
        <a:prstGeom prst="righ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2</xdr:col>
      <xdr:colOff>285750</xdr:colOff>
      <xdr:row>10</xdr:row>
      <xdr:rowOff>131884</xdr:rowOff>
    </xdr:from>
    <xdr:to>
      <xdr:col>2</xdr:col>
      <xdr:colOff>483577</xdr:colOff>
      <xdr:row>10</xdr:row>
      <xdr:rowOff>219807</xdr:rowOff>
    </xdr:to>
    <xdr:sp macro="" textlink="">
      <xdr:nvSpPr>
        <xdr:cNvPr id="8" name="Seta: para a Direita 7">
          <a:extLst>
            <a:ext uri="{FF2B5EF4-FFF2-40B4-BE49-F238E27FC236}">
              <a16:creationId xmlns:a16="http://schemas.microsoft.com/office/drawing/2014/main" id="{00000000-0008-0000-0000-000008000000}"/>
            </a:ext>
          </a:extLst>
        </xdr:cNvPr>
        <xdr:cNvSpPr/>
      </xdr:nvSpPr>
      <xdr:spPr>
        <a:xfrm>
          <a:off x="4769827" y="3165230"/>
          <a:ext cx="197827" cy="87923"/>
        </a:xfrm>
        <a:prstGeom prst="righ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2</xdr:col>
      <xdr:colOff>285750</xdr:colOff>
      <xdr:row>13</xdr:row>
      <xdr:rowOff>58615</xdr:rowOff>
    </xdr:from>
    <xdr:to>
      <xdr:col>2</xdr:col>
      <xdr:colOff>483577</xdr:colOff>
      <xdr:row>13</xdr:row>
      <xdr:rowOff>146538</xdr:rowOff>
    </xdr:to>
    <xdr:sp macro="" textlink="">
      <xdr:nvSpPr>
        <xdr:cNvPr id="11" name="Seta: para a Direita 10">
          <a:extLst>
            <a:ext uri="{FF2B5EF4-FFF2-40B4-BE49-F238E27FC236}">
              <a16:creationId xmlns:a16="http://schemas.microsoft.com/office/drawing/2014/main" id="{00000000-0008-0000-0000-00000B000000}"/>
            </a:ext>
          </a:extLst>
        </xdr:cNvPr>
        <xdr:cNvSpPr/>
      </xdr:nvSpPr>
      <xdr:spPr>
        <a:xfrm>
          <a:off x="4769827" y="2908788"/>
          <a:ext cx="197827" cy="87923"/>
        </a:xfrm>
        <a:prstGeom prst="righ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2</xdr:col>
      <xdr:colOff>285750</xdr:colOff>
      <xdr:row>11</xdr:row>
      <xdr:rowOff>58615</xdr:rowOff>
    </xdr:from>
    <xdr:to>
      <xdr:col>2</xdr:col>
      <xdr:colOff>483577</xdr:colOff>
      <xdr:row>11</xdr:row>
      <xdr:rowOff>146538</xdr:rowOff>
    </xdr:to>
    <xdr:sp macro="" textlink="">
      <xdr:nvSpPr>
        <xdr:cNvPr id="12" name="Seta: para a Direita 11">
          <a:extLst>
            <a:ext uri="{FF2B5EF4-FFF2-40B4-BE49-F238E27FC236}">
              <a16:creationId xmlns:a16="http://schemas.microsoft.com/office/drawing/2014/main" id="{00000000-0008-0000-0000-00000C000000}"/>
            </a:ext>
          </a:extLst>
        </xdr:cNvPr>
        <xdr:cNvSpPr/>
      </xdr:nvSpPr>
      <xdr:spPr>
        <a:xfrm>
          <a:off x="4769827" y="3091961"/>
          <a:ext cx="197827" cy="87923"/>
        </a:xfrm>
        <a:prstGeom prst="righ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0</xdr:col>
      <xdr:colOff>748078</xdr:colOff>
      <xdr:row>15</xdr:row>
      <xdr:rowOff>93729</xdr:rowOff>
    </xdr:from>
    <xdr:to>
      <xdr:col>4</xdr:col>
      <xdr:colOff>990600</xdr:colOff>
      <xdr:row>37</xdr:row>
      <xdr:rowOff>68381</xdr:rowOff>
    </xdr:to>
    <xdr:pic>
      <xdr:nvPicPr>
        <xdr:cNvPr id="4" name="Imagem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stretch>
          <a:fillRect/>
        </a:stretch>
      </xdr:blipFill>
      <xdr:spPr>
        <a:xfrm>
          <a:off x="748078" y="4122804"/>
          <a:ext cx="7929197" cy="3956102"/>
        </a:xfrm>
        <a:prstGeom prst="rect">
          <a:avLst/>
        </a:prstGeom>
      </xdr:spPr>
    </xdr:pic>
    <xdr:clientData/>
  </xdr:twoCellAnchor>
  <xdr:twoCellAnchor editAs="oneCell">
    <xdr:from>
      <xdr:col>0</xdr:col>
      <xdr:colOff>767308</xdr:colOff>
      <xdr:row>38</xdr:row>
      <xdr:rowOff>71804</xdr:rowOff>
    </xdr:from>
    <xdr:to>
      <xdr:col>4</xdr:col>
      <xdr:colOff>952501</xdr:colOff>
      <xdr:row>61</xdr:row>
      <xdr:rowOff>153964</xdr:rowOff>
    </xdr:to>
    <xdr:pic>
      <xdr:nvPicPr>
        <xdr:cNvPr id="5" name="Imagem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2"/>
        <a:stretch>
          <a:fillRect/>
        </a:stretch>
      </xdr:blipFill>
      <xdr:spPr>
        <a:xfrm>
          <a:off x="767308" y="8263304"/>
          <a:ext cx="7871868" cy="3996935"/>
        </a:xfrm>
        <a:prstGeom prst="rect">
          <a:avLst/>
        </a:prstGeom>
      </xdr:spPr>
    </xdr:pic>
    <xdr:clientData/>
  </xdr:twoCellAnchor>
  <xdr:twoCellAnchor editAs="oneCell">
    <xdr:from>
      <xdr:col>0</xdr:col>
      <xdr:colOff>783983</xdr:colOff>
      <xdr:row>62</xdr:row>
      <xdr:rowOff>153865</xdr:rowOff>
    </xdr:from>
    <xdr:to>
      <xdr:col>4</xdr:col>
      <xdr:colOff>923778</xdr:colOff>
      <xdr:row>86</xdr:row>
      <xdr:rowOff>76200</xdr:rowOff>
    </xdr:to>
    <xdr:pic>
      <xdr:nvPicPr>
        <xdr:cNvPr id="6" name="Imagem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3"/>
        <a:stretch>
          <a:fillRect/>
        </a:stretch>
      </xdr:blipFill>
      <xdr:spPr>
        <a:xfrm>
          <a:off x="783983" y="12422065"/>
          <a:ext cx="7826470" cy="3808535"/>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0</xdr:col>
          <xdr:colOff>1343025</xdr:colOff>
          <xdr:row>0</xdr:row>
          <xdr:rowOff>76200</xdr:rowOff>
        </xdr:from>
        <xdr:to>
          <xdr:col>0</xdr:col>
          <xdr:colOff>2057400</xdr:colOff>
          <xdr:row>0</xdr:row>
          <xdr:rowOff>609600</xdr:rowOff>
        </xdr:to>
        <xdr:sp macro="" textlink="">
          <xdr:nvSpPr>
            <xdr:cNvPr id="1026" name="Object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1790700</xdr:colOff>
          <xdr:row>0</xdr:row>
          <xdr:rowOff>57150</xdr:rowOff>
        </xdr:from>
        <xdr:to>
          <xdr:col>0</xdr:col>
          <xdr:colOff>2590800</xdr:colOff>
          <xdr:row>0</xdr:row>
          <xdr:rowOff>657225</xdr:rowOff>
        </xdr:to>
        <xdr:sp macro="" textlink="">
          <xdr:nvSpPr>
            <xdr:cNvPr id="27649" name="Object 1" hidden="1">
              <a:extLst>
                <a:ext uri="{63B3BB69-23CF-44E3-9099-C40C66FF867C}">
                  <a14:compatExt spid="_x0000_s27649"/>
                </a:ext>
                <a:ext uri="{FF2B5EF4-FFF2-40B4-BE49-F238E27FC236}">
                  <a16:creationId xmlns:a16="http://schemas.microsoft.com/office/drawing/2014/main" id="{00000000-0008-0000-0900-0000016C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1562100</xdr:colOff>
          <xdr:row>0</xdr:row>
          <xdr:rowOff>85725</xdr:rowOff>
        </xdr:from>
        <xdr:to>
          <xdr:col>1</xdr:col>
          <xdr:colOff>2476500</xdr:colOff>
          <xdr:row>0</xdr:row>
          <xdr:rowOff>771525</xdr:rowOff>
        </xdr:to>
        <xdr:sp macro="" textlink="">
          <xdr:nvSpPr>
            <xdr:cNvPr id="28673" name="Object 1" hidden="1">
              <a:extLst>
                <a:ext uri="{63B3BB69-23CF-44E3-9099-C40C66FF867C}">
                  <a14:compatExt spid="_x0000_s28673"/>
                </a:ext>
                <a:ext uri="{FF2B5EF4-FFF2-40B4-BE49-F238E27FC236}">
                  <a16:creationId xmlns:a16="http://schemas.microsoft.com/office/drawing/2014/main" id="{00000000-0008-0000-0A00-00000170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1285875</xdr:colOff>
          <xdr:row>0</xdr:row>
          <xdr:rowOff>85725</xdr:rowOff>
        </xdr:from>
        <xdr:to>
          <xdr:col>1</xdr:col>
          <xdr:colOff>2171700</xdr:colOff>
          <xdr:row>0</xdr:row>
          <xdr:rowOff>752475</xdr:rowOff>
        </xdr:to>
        <xdr:sp macro="" textlink="">
          <xdr:nvSpPr>
            <xdr:cNvPr id="29697" name="Object 1" hidden="1">
              <a:extLst>
                <a:ext uri="{63B3BB69-23CF-44E3-9099-C40C66FF867C}">
                  <a14:compatExt spid="_x0000_s29697"/>
                </a:ext>
                <a:ext uri="{FF2B5EF4-FFF2-40B4-BE49-F238E27FC236}">
                  <a16:creationId xmlns:a16="http://schemas.microsoft.com/office/drawing/2014/main" id="{00000000-0008-0000-0B00-0000017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3.xml><?xml version="1.0" encoding="utf-8"?>
<xdr:wsDr xmlns:xdr="http://schemas.openxmlformats.org/drawingml/2006/spreadsheetDrawing" xmlns:a="http://schemas.openxmlformats.org/drawingml/2006/main">
  <xdr:twoCellAnchor editAs="oneCell">
    <xdr:from>
      <xdr:col>0</xdr:col>
      <xdr:colOff>735636</xdr:colOff>
      <xdr:row>46</xdr:row>
      <xdr:rowOff>92210</xdr:rowOff>
    </xdr:from>
    <xdr:to>
      <xdr:col>6</xdr:col>
      <xdr:colOff>2331773</xdr:colOff>
      <xdr:row>65</xdr:row>
      <xdr:rowOff>123265</xdr:rowOff>
    </xdr:to>
    <xdr:pic>
      <xdr:nvPicPr>
        <xdr:cNvPr id="10" name="Imagem 9">
          <a:extLst>
            <a:ext uri="{FF2B5EF4-FFF2-40B4-BE49-F238E27FC236}">
              <a16:creationId xmlns:a16="http://schemas.microsoft.com/office/drawing/2014/main" id="{00000000-0008-0000-0C00-00000A000000}"/>
            </a:ext>
          </a:extLst>
        </xdr:cNvPr>
        <xdr:cNvPicPr>
          <a:picLocks noChangeAspect="1"/>
        </xdr:cNvPicPr>
      </xdr:nvPicPr>
      <xdr:blipFill>
        <a:blip xmlns:r="http://schemas.openxmlformats.org/officeDocument/2006/relationships" r:embed="rId1"/>
        <a:stretch>
          <a:fillRect/>
        </a:stretch>
      </xdr:blipFill>
      <xdr:spPr>
        <a:xfrm>
          <a:off x="735636" y="25383886"/>
          <a:ext cx="9236281" cy="3650555"/>
        </a:xfrm>
        <a:prstGeom prst="rect">
          <a:avLst/>
        </a:prstGeom>
      </xdr:spPr>
    </xdr:pic>
    <xdr:clientData/>
  </xdr:twoCellAnchor>
  <xdr:twoCellAnchor editAs="oneCell">
    <xdr:from>
      <xdr:col>0</xdr:col>
      <xdr:colOff>883922</xdr:colOff>
      <xdr:row>68</xdr:row>
      <xdr:rowOff>118589</xdr:rowOff>
    </xdr:from>
    <xdr:to>
      <xdr:col>6</xdr:col>
      <xdr:colOff>2097767</xdr:colOff>
      <xdr:row>86</xdr:row>
      <xdr:rowOff>143285</xdr:rowOff>
    </xdr:to>
    <xdr:pic>
      <xdr:nvPicPr>
        <xdr:cNvPr id="12" name="Imagem 11">
          <a:extLst>
            <a:ext uri="{FF2B5EF4-FFF2-40B4-BE49-F238E27FC236}">
              <a16:creationId xmlns:a16="http://schemas.microsoft.com/office/drawing/2014/main" id="{00000000-0008-0000-0C00-00000C000000}"/>
            </a:ext>
          </a:extLst>
        </xdr:cNvPr>
        <xdr:cNvPicPr>
          <a:picLocks noChangeAspect="1"/>
        </xdr:cNvPicPr>
      </xdr:nvPicPr>
      <xdr:blipFill>
        <a:blip xmlns:r="http://schemas.openxmlformats.org/officeDocument/2006/relationships" r:embed="rId2"/>
        <a:stretch>
          <a:fillRect/>
        </a:stretch>
      </xdr:blipFill>
      <xdr:spPr>
        <a:xfrm>
          <a:off x="883922" y="29567648"/>
          <a:ext cx="8853989" cy="3251990"/>
        </a:xfrm>
        <a:prstGeom prst="rect">
          <a:avLst/>
        </a:prstGeom>
      </xdr:spPr>
    </xdr:pic>
    <xdr:clientData/>
  </xdr:twoCellAnchor>
  <xdr:twoCellAnchor editAs="oneCell">
    <xdr:from>
      <xdr:col>1</xdr:col>
      <xdr:colOff>1248725</xdr:colOff>
      <xdr:row>90</xdr:row>
      <xdr:rowOff>85263</xdr:rowOff>
    </xdr:from>
    <xdr:to>
      <xdr:col>6</xdr:col>
      <xdr:colOff>724179</xdr:colOff>
      <xdr:row>109</xdr:row>
      <xdr:rowOff>36020</xdr:rowOff>
    </xdr:to>
    <xdr:pic>
      <xdr:nvPicPr>
        <xdr:cNvPr id="14" name="Imagem 13">
          <a:extLst>
            <a:ext uri="{FF2B5EF4-FFF2-40B4-BE49-F238E27FC236}">
              <a16:creationId xmlns:a16="http://schemas.microsoft.com/office/drawing/2014/main" id="{00000000-0008-0000-0C00-00000E000000}"/>
            </a:ext>
          </a:extLst>
        </xdr:cNvPr>
        <xdr:cNvPicPr>
          <a:picLocks noChangeAspect="1"/>
        </xdr:cNvPicPr>
      </xdr:nvPicPr>
      <xdr:blipFill>
        <a:blip xmlns:r="http://schemas.openxmlformats.org/officeDocument/2006/relationships" r:embed="rId3"/>
        <a:stretch>
          <a:fillRect/>
        </a:stretch>
      </xdr:blipFill>
      <xdr:spPr>
        <a:xfrm>
          <a:off x="2436549" y="33512410"/>
          <a:ext cx="5927774" cy="3354944"/>
        </a:xfrm>
        <a:prstGeom prst="rect">
          <a:avLst/>
        </a:prstGeom>
      </xdr:spPr>
    </xdr:pic>
    <xdr:clientData/>
  </xdr:twoCellAnchor>
  <xdr:twoCellAnchor editAs="oneCell">
    <xdr:from>
      <xdr:col>1</xdr:col>
      <xdr:colOff>1007520</xdr:colOff>
      <xdr:row>113</xdr:row>
      <xdr:rowOff>60938</xdr:rowOff>
    </xdr:from>
    <xdr:to>
      <xdr:col>6</xdr:col>
      <xdr:colOff>844556</xdr:colOff>
      <xdr:row>136</xdr:row>
      <xdr:rowOff>127198</xdr:rowOff>
    </xdr:to>
    <xdr:pic>
      <xdr:nvPicPr>
        <xdr:cNvPr id="15" name="Imagem 14">
          <a:extLst>
            <a:ext uri="{FF2B5EF4-FFF2-40B4-BE49-F238E27FC236}">
              <a16:creationId xmlns:a16="http://schemas.microsoft.com/office/drawing/2014/main" id="{00000000-0008-0000-0C00-00000F000000}"/>
            </a:ext>
          </a:extLst>
        </xdr:cNvPr>
        <xdr:cNvPicPr>
          <a:picLocks noChangeAspect="1"/>
        </xdr:cNvPicPr>
      </xdr:nvPicPr>
      <xdr:blipFill>
        <a:blip xmlns:r="http://schemas.openxmlformats.org/officeDocument/2006/relationships" r:embed="rId4"/>
        <a:stretch>
          <a:fillRect/>
        </a:stretch>
      </xdr:blipFill>
      <xdr:spPr>
        <a:xfrm>
          <a:off x="2204949" y="37535009"/>
          <a:ext cx="6284553" cy="4134796"/>
        </a:xfrm>
        <a:prstGeom prst="rect">
          <a:avLst/>
        </a:prstGeom>
      </xdr:spPr>
    </xdr:pic>
    <xdr:clientData/>
  </xdr:twoCellAnchor>
  <xdr:twoCellAnchor editAs="oneCell">
    <xdr:from>
      <xdr:col>1</xdr:col>
      <xdr:colOff>344319</xdr:colOff>
      <xdr:row>139</xdr:row>
      <xdr:rowOff>679767</xdr:rowOff>
    </xdr:from>
    <xdr:to>
      <xdr:col>6</xdr:col>
      <xdr:colOff>1485446</xdr:colOff>
      <xdr:row>162</xdr:row>
      <xdr:rowOff>156571</xdr:rowOff>
    </xdr:to>
    <xdr:pic>
      <xdr:nvPicPr>
        <xdr:cNvPr id="16" name="Imagem 15">
          <a:extLst>
            <a:ext uri="{FF2B5EF4-FFF2-40B4-BE49-F238E27FC236}">
              <a16:creationId xmlns:a16="http://schemas.microsoft.com/office/drawing/2014/main" id="{00000000-0008-0000-0C00-000010000000}"/>
            </a:ext>
          </a:extLst>
        </xdr:cNvPr>
        <xdr:cNvPicPr>
          <a:picLocks noChangeAspect="1"/>
        </xdr:cNvPicPr>
      </xdr:nvPicPr>
      <xdr:blipFill>
        <a:blip xmlns:r="http://schemas.openxmlformats.org/officeDocument/2006/relationships" r:embed="rId5"/>
        <a:stretch>
          <a:fillRect/>
        </a:stretch>
      </xdr:blipFill>
      <xdr:spPr>
        <a:xfrm>
          <a:off x="1541748" y="42753053"/>
          <a:ext cx="7588644" cy="4048804"/>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xdr:col>
          <xdr:colOff>1285875</xdr:colOff>
          <xdr:row>0</xdr:row>
          <xdr:rowOff>76200</xdr:rowOff>
        </xdr:from>
        <xdr:to>
          <xdr:col>2</xdr:col>
          <xdr:colOff>885825</xdr:colOff>
          <xdr:row>2</xdr:row>
          <xdr:rowOff>266700</xdr:rowOff>
        </xdr:to>
        <xdr:sp macro="" textlink="">
          <xdr:nvSpPr>
            <xdr:cNvPr id="23553" name="Object 1" hidden="1">
              <a:extLst>
                <a:ext uri="{63B3BB69-23CF-44E3-9099-C40C66FF867C}">
                  <a14:compatExt spid="_x0000_s23553"/>
                </a:ext>
                <a:ext uri="{FF2B5EF4-FFF2-40B4-BE49-F238E27FC236}">
                  <a16:creationId xmlns:a16="http://schemas.microsoft.com/office/drawing/2014/main" id="{00000000-0008-0000-0C00-0000015C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1619250</xdr:colOff>
          <xdr:row>0</xdr:row>
          <xdr:rowOff>85725</xdr:rowOff>
        </xdr:from>
        <xdr:to>
          <xdr:col>0</xdr:col>
          <xdr:colOff>2505075</xdr:colOff>
          <xdr:row>0</xdr:row>
          <xdr:rowOff>752475</xdr:rowOff>
        </xdr:to>
        <xdr:sp macro="" textlink="">
          <xdr:nvSpPr>
            <xdr:cNvPr id="30721" name="Object 1" hidden="1">
              <a:extLst>
                <a:ext uri="{63B3BB69-23CF-44E3-9099-C40C66FF867C}">
                  <a14:compatExt spid="_x0000_s30721"/>
                </a:ext>
                <a:ext uri="{FF2B5EF4-FFF2-40B4-BE49-F238E27FC236}">
                  <a16:creationId xmlns:a16="http://schemas.microsoft.com/office/drawing/2014/main" id="{00000000-0008-0000-0D00-00000178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5.xml><?xml version="1.0" encoding="utf-8"?>
<xdr:wsDr xmlns:xdr="http://schemas.openxmlformats.org/drawingml/2006/spreadsheetDrawing" xmlns:a="http://schemas.openxmlformats.org/drawingml/2006/main">
  <xdr:twoCellAnchor editAs="oneCell">
    <xdr:from>
      <xdr:col>0</xdr:col>
      <xdr:colOff>810185</xdr:colOff>
      <xdr:row>61</xdr:row>
      <xdr:rowOff>18490</xdr:rowOff>
    </xdr:from>
    <xdr:to>
      <xdr:col>3</xdr:col>
      <xdr:colOff>213600</xdr:colOff>
      <xdr:row>70</xdr:row>
      <xdr:rowOff>155053</xdr:rowOff>
    </xdr:to>
    <xdr:pic>
      <xdr:nvPicPr>
        <xdr:cNvPr id="2" name="Imagem 1">
          <a:extLst>
            <a:ext uri="{FF2B5EF4-FFF2-40B4-BE49-F238E27FC236}">
              <a16:creationId xmlns:a16="http://schemas.microsoft.com/office/drawing/2014/main" id="{00000000-0008-0000-0E00-000002000000}"/>
            </a:ext>
          </a:extLst>
        </xdr:cNvPr>
        <xdr:cNvPicPr/>
      </xdr:nvPicPr>
      <xdr:blipFill>
        <a:blip xmlns:r="http://schemas.openxmlformats.org/officeDocument/2006/relationships" r:embed="rId1"/>
        <a:stretch>
          <a:fillRect/>
        </a:stretch>
      </xdr:blipFill>
      <xdr:spPr>
        <a:xfrm>
          <a:off x="810185" y="13566402"/>
          <a:ext cx="5400600" cy="1951915"/>
        </a:xfrm>
        <a:prstGeom prst="rect">
          <a:avLst/>
        </a:prstGeom>
      </xdr:spPr>
    </xdr:pic>
    <xdr:clientData/>
  </xdr:twoCellAnchor>
  <xdr:twoCellAnchor editAs="oneCell">
    <xdr:from>
      <xdr:col>0</xdr:col>
      <xdr:colOff>943535</xdr:colOff>
      <xdr:row>34</xdr:row>
      <xdr:rowOff>174252</xdr:rowOff>
    </xdr:from>
    <xdr:to>
      <xdr:col>3</xdr:col>
      <xdr:colOff>489767</xdr:colOff>
      <xdr:row>46</xdr:row>
      <xdr:rowOff>196361</xdr:rowOff>
    </xdr:to>
    <xdr:pic>
      <xdr:nvPicPr>
        <xdr:cNvPr id="3" name="Imagem 2">
          <a:extLst>
            <a:ext uri="{FF2B5EF4-FFF2-40B4-BE49-F238E27FC236}">
              <a16:creationId xmlns:a16="http://schemas.microsoft.com/office/drawing/2014/main" id="{00000000-0008-0000-0E00-000003000000}"/>
            </a:ext>
          </a:extLst>
        </xdr:cNvPr>
        <xdr:cNvPicPr>
          <a:picLocks noChangeAspect="1"/>
        </xdr:cNvPicPr>
      </xdr:nvPicPr>
      <xdr:blipFill>
        <a:blip xmlns:r="http://schemas.openxmlformats.org/officeDocument/2006/relationships" r:embed="rId2"/>
        <a:stretch>
          <a:fillRect/>
        </a:stretch>
      </xdr:blipFill>
      <xdr:spPr>
        <a:xfrm>
          <a:off x="943535" y="8253693"/>
          <a:ext cx="5543417" cy="2442580"/>
        </a:xfrm>
        <a:prstGeom prst="rect">
          <a:avLst/>
        </a:prstGeom>
      </xdr:spPr>
    </xdr:pic>
    <xdr:clientData/>
  </xdr:twoCellAnchor>
  <xdr:twoCellAnchor editAs="oneCell">
    <xdr:from>
      <xdr:col>0</xdr:col>
      <xdr:colOff>934010</xdr:colOff>
      <xdr:row>31</xdr:row>
      <xdr:rowOff>86845</xdr:rowOff>
    </xdr:from>
    <xdr:to>
      <xdr:col>3</xdr:col>
      <xdr:colOff>480935</xdr:colOff>
      <xdr:row>34</xdr:row>
      <xdr:rowOff>105819</xdr:rowOff>
    </xdr:to>
    <xdr:pic>
      <xdr:nvPicPr>
        <xdr:cNvPr id="4" name="Imagem 3">
          <a:extLst>
            <a:ext uri="{FF2B5EF4-FFF2-40B4-BE49-F238E27FC236}">
              <a16:creationId xmlns:a16="http://schemas.microsoft.com/office/drawing/2014/main" id="{00000000-0008-0000-0E00-000004000000}"/>
            </a:ext>
          </a:extLst>
        </xdr:cNvPr>
        <xdr:cNvPicPr>
          <a:picLocks noChangeAspect="1"/>
        </xdr:cNvPicPr>
      </xdr:nvPicPr>
      <xdr:blipFill rotWithShape="1">
        <a:blip xmlns:r="http://schemas.openxmlformats.org/officeDocument/2006/relationships" r:embed="rId3"/>
        <a:srcRect r="1344"/>
        <a:stretch/>
      </xdr:blipFill>
      <xdr:spPr>
        <a:xfrm>
          <a:off x="934010" y="7561169"/>
          <a:ext cx="5544110" cy="624091"/>
        </a:xfrm>
        <a:prstGeom prst="rect">
          <a:avLst/>
        </a:prstGeom>
      </xdr:spPr>
    </xdr:pic>
    <xdr:clientData/>
  </xdr:twoCellAnchor>
  <xdr:twoCellAnchor editAs="oneCell">
    <xdr:from>
      <xdr:col>0</xdr:col>
      <xdr:colOff>1302203</xdr:colOff>
      <xdr:row>89</xdr:row>
      <xdr:rowOff>65375</xdr:rowOff>
    </xdr:from>
    <xdr:to>
      <xdr:col>3</xdr:col>
      <xdr:colOff>877703</xdr:colOff>
      <xdr:row>105</xdr:row>
      <xdr:rowOff>119852</xdr:rowOff>
    </xdr:to>
    <xdr:pic>
      <xdr:nvPicPr>
        <xdr:cNvPr id="5" name="Imagem 4">
          <a:extLst>
            <a:ext uri="{FF2B5EF4-FFF2-40B4-BE49-F238E27FC236}">
              <a16:creationId xmlns:a16="http://schemas.microsoft.com/office/drawing/2014/main" id="{00000000-0008-0000-0E00-000005000000}"/>
            </a:ext>
          </a:extLst>
        </xdr:cNvPr>
        <xdr:cNvPicPr>
          <a:picLocks noChangeAspect="1"/>
        </xdr:cNvPicPr>
      </xdr:nvPicPr>
      <xdr:blipFill>
        <a:blip xmlns:r="http://schemas.openxmlformats.org/officeDocument/2006/relationships" r:embed="rId4"/>
        <a:stretch>
          <a:fillRect/>
        </a:stretch>
      </xdr:blipFill>
      <xdr:spPr>
        <a:xfrm>
          <a:off x="1302203" y="19278661"/>
          <a:ext cx="5577487" cy="3320192"/>
        </a:xfrm>
        <a:prstGeom prst="rect">
          <a:avLst/>
        </a:prstGeom>
      </xdr:spPr>
    </xdr:pic>
    <xdr:clientData/>
  </xdr:twoCellAnchor>
  <xdr:twoCellAnchor editAs="oneCell">
    <xdr:from>
      <xdr:col>0</xdr:col>
      <xdr:colOff>1435554</xdr:colOff>
      <xdr:row>109</xdr:row>
      <xdr:rowOff>34353</xdr:rowOff>
    </xdr:from>
    <xdr:to>
      <xdr:col>3</xdr:col>
      <xdr:colOff>817275</xdr:colOff>
      <xdr:row>123</xdr:row>
      <xdr:rowOff>168730</xdr:rowOff>
    </xdr:to>
    <xdr:pic>
      <xdr:nvPicPr>
        <xdr:cNvPr id="6" name="Imagem 5">
          <a:extLst>
            <a:ext uri="{FF2B5EF4-FFF2-40B4-BE49-F238E27FC236}">
              <a16:creationId xmlns:a16="http://schemas.microsoft.com/office/drawing/2014/main" id="{00000000-0008-0000-0E00-000006000000}"/>
            </a:ext>
          </a:extLst>
        </xdr:cNvPr>
        <xdr:cNvPicPr>
          <a:picLocks noChangeAspect="1"/>
        </xdr:cNvPicPr>
      </xdr:nvPicPr>
      <xdr:blipFill>
        <a:blip xmlns:r="http://schemas.openxmlformats.org/officeDocument/2006/relationships" r:embed="rId5"/>
        <a:stretch>
          <a:fillRect/>
        </a:stretch>
      </xdr:blipFill>
      <xdr:spPr>
        <a:xfrm>
          <a:off x="1435554" y="23493067"/>
          <a:ext cx="5383708" cy="2746949"/>
        </a:xfrm>
        <a:prstGeom prst="rect">
          <a:avLst/>
        </a:prstGeom>
      </xdr:spPr>
    </xdr:pic>
    <xdr:clientData/>
  </xdr:twoCellAnchor>
  <xdr:twoCellAnchor editAs="oneCell">
    <xdr:from>
      <xdr:col>0</xdr:col>
      <xdr:colOff>1487261</xdr:colOff>
      <xdr:row>129</xdr:row>
      <xdr:rowOff>50734</xdr:rowOff>
    </xdr:from>
    <xdr:to>
      <xdr:col>3</xdr:col>
      <xdr:colOff>1188769</xdr:colOff>
      <xdr:row>149</xdr:row>
      <xdr:rowOff>11999</xdr:rowOff>
    </xdr:to>
    <xdr:pic>
      <xdr:nvPicPr>
        <xdr:cNvPr id="7" name="Imagem 6">
          <a:extLst>
            <a:ext uri="{FF2B5EF4-FFF2-40B4-BE49-F238E27FC236}">
              <a16:creationId xmlns:a16="http://schemas.microsoft.com/office/drawing/2014/main" id="{00000000-0008-0000-0E00-000007000000}"/>
            </a:ext>
          </a:extLst>
        </xdr:cNvPr>
        <xdr:cNvPicPr>
          <a:picLocks noChangeAspect="1"/>
        </xdr:cNvPicPr>
      </xdr:nvPicPr>
      <xdr:blipFill>
        <a:blip xmlns:r="http://schemas.openxmlformats.org/officeDocument/2006/relationships" r:embed="rId6"/>
        <a:stretch>
          <a:fillRect/>
        </a:stretch>
      </xdr:blipFill>
      <xdr:spPr>
        <a:xfrm>
          <a:off x="1487261" y="27224198"/>
          <a:ext cx="5710917" cy="3499123"/>
        </a:xfrm>
        <a:prstGeom prst="rect">
          <a:avLst/>
        </a:prstGeom>
      </xdr:spPr>
    </xdr:pic>
    <xdr:clientData/>
  </xdr:twoCellAnchor>
  <xdr:twoCellAnchor editAs="oneCell">
    <xdr:from>
      <xdr:col>0</xdr:col>
      <xdr:colOff>1352550</xdr:colOff>
      <xdr:row>153</xdr:row>
      <xdr:rowOff>142877</xdr:rowOff>
    </xdr:from>
    <xdr:to>
      <xdr:col>3</xdr:col>
      <xdr:colOff>1134341</xdr:colOff>
      <xdr:row>173</xdr:row>
      <xdr:rowOff>65847</xdr:rowOff>
    </xdr:to>
    <xdr:pic>
      <xdr:nvPicPr>
        <xdr:cNvPr id="8" name="Imagem 7">
          <a:extLst>
            <a:ext uri="{FF2B5EF4-FFF2-40B4-BE49-F238E27FC236}">
              <a16:creationId xmlns:a16="http://schemas.microsoft.com/office/drawing/2014/main" id="{00000000-0008-0000-0E00-000008000000}"/>
            </a:ext>
          </a:extLst>
        </xdr:cNvPr>
        <xdr:cNvPicPr>
          <a:picLocks noChangeAspect="1"/>
        </xdr:cNvPicPr>
      </xdr:nvPicPr>
      <xdr:blipFill>
        <a:blip xmlns:r="http://schemas.openxmlformats.org/officeDocument/2006/relationships" r:embed="rId7"/>
        <a:stretch>
          <a:fillRect/>
        </a:stretch>
      </xdr:blipFill>
      <xdr:spPr>
        <a:xfrm>
          <a:off x="1352550" y="31561770"/>
          <a:ext cx="5791200" cy="3460827"/>
        </a:xfrm>
        <a:prstGeom prst="rect">
          <a:avLst/>
        </a:prstGeom>
      </xdr:spPr>
    </xdr:pic>
    <xdr:clientData/>
  </xdr:twoCellAnchor>
  <xdr:twoCellAnchor editAs="oneCell">
    <xdr:from>
      <xdr:col>0</xdr:col>
      <xdr:colOff>1219201</xdr:colOff>
      <xdr:row>179</xdr:row>
      <xdr:rowOff>53069</xdr:rowOff>
    </xdr:from>
    <xdr:to>
      <xdr:col>3</xdr:col>
      <xdr:colOff>1175162</xdr:colOff>
      <xdr:row>198</xdr:row>
      <xdr:rowOff>94946</xdr:rowOff>
    </xdr:to>
    <xdr:pic>
      <xdr:nvPicPr>
        <xdr:cNvPr id="9" name="Imagem 8">
          <a:extLst>
            <a:ext uri="{FF2B5EF4-FFF2-40B4-BE49-F238E27FC236}">
              <a16:creationId xmlns:a16="http://schemas.microsoft.com/office/drawing/2014/main" id="{00000000-0008-0000-0E00-000009000000}"/>
            </a:ext>
          </a:extLst>
        </xdr:cNvPr>
        <xdr:cNvPicPr>
          <a:picLocks noChangeAspect="1"/>
        </xdr:cNvPicPr>
      </xdr:nvPicPr>
      <xdr:blipFill>
        <a:blip xmlns:r="http://schemas.openxmlformats.org/officeDocument/2006/relationships" r:embed="rId8"/>
        <a:stretch>
          <a:fillRect/>
        </a:stretch>
      </xdr:blipFill>
      <xdr:spPr>
        <a:xfrm>
          <a:off x="1219201" y="36071176"/>
          <a:ext cx="5965370" cy="3620556"/>
        </a:xfrm>
        <a:prstGeom prst="rect">
          <a:avLst/>
        </a:prstGeom>
      </xdr:spPr>
    </xdr:pic>
    <xdr:clientData/>
  </xdr:twoCellAnchor>
  <xdr:twoCellAnchor editAs="oneCell">
    <xdr:from>
      <xdr:col>0</xdr:col>
      <xdr:colOff>1364799</xdr:colOff>
      <xdr:row>214</xdr:row>
      <xdr:rowOff>73479</xdr:rowOff>
    </xdr:from>
    <xdr:to>
      <xdr:col>3</xdr:col>
      <xdr:colOff>1161555</xdr:colOff>
      <xdr:row>234</xdr:row>
      <xdr:rowOff>80398</xdr:rowOff>
    </xdr:to>
    <xdr:pic>
      <xdr:nvPicPr>
        <xdr:cNvPr id="10" name="Imagem 9">
          <a:extLst>
            <a:ext uri="{FF2B5EF4-FFF2-40B4-BE49-F238E27FC236}">
              <a16:creationId xmlns:a16="http://schemas.microsoft.com/office/drawing/2014/main" id="{00000000-0008-0000-0E00-00000A000000}"/>
            </a:ext>
          </a:extLst>
        </xdr:cNvPr>
        <xdr:cNvPicPr>
          <a:picLocks noChangeAspect="1"/>
        </xdr:cNvPicPr>
      </xdr:nvPicPr>
      <xdr:blipFill>
        <a:blip xmlns:r="http://schemas.openxmlformats.org/officeDocument/2006/relationships" r:embed="rId9"/>
        <a:stretch>
          <a:fillRect/>
        </a:stretch>
      </xdr:blipFill>
      <xdr:spPr>
        <a:xfrm>
          <a:off x="1364799" y="42623015"/>
          <a:ext cx="5806165" cy="3544776"/>
        </a:xfrm>
        <a:prstGeom prst="rect">
          <a:avLst/>
        </a:prstGeom>
      </xdr:spPr>
    </xdr:pic>
    <xdr:clientData/>
  </xdr:twoCellAnchor>
  <xdr:twoCellAnchor editAs="oneCell">
    <xdr:from>
      <xdr:col>0</xdr:col>
      <xdr:colOff>1340304</xdr:colOff>
      <xdr:row>239</xdr:row>
      <xdr:rowOff>105326</xdr:rowOff>
    </xdr:from>
    <xdr:to>
      <xdr:col>3</xdr:col>
      <xdr:colOff>1243198</xdr:colOff>
      <xdr:row>259</xdr:row>
      <xdr:rowOff>5769</xdr:rowOff>
    </xdr:to>
    <xdr:pic>
      <xdr:nvPicPr>
        <xdr:cNvPr id="11" name="Imagem 10">
          <a:extLst>
            <a:ext uri="{FF2B5EF4-FFF2-40B4-BE49-F238E27FC236}">
              <a16:creationId xmlns:a16="http://schemas.microsoft.com/office/drawing/2014/main" id="{00000000-0008-0000-0E00-00000B000000}"/>
            </a:ext>
          </a:extLst>
        </xdr:cNvPr>
        <xdr:cNvPicPr>
          <a:picLocks noChangeAspect="1"/>
        </xdr:cNvPicPr>
      </xdr:nvPicPr>
      <xdr:blipFill>
        <a:blip xmlns:r="http://schemas.openxmlformats.org/officeDocument/2006/relationships" r:embed="rId10"/>
        <a:stretch>
          <a:fillRect/>
        </a:stretch>
      </xdr:blipFill>
      <xdr:spPr>
        <a:xfrm>
          <a:off x="1340304" y="47077183"/>
          <a:ext cx="5912303" cy="3438300"/>
        </a:xfrm>
        <a:prstGeom prst="rect">
          <a:avLst/>
        </a:prstGeom>
      </xdr:spPr>
    </xdr:pic>
    <xdr:clientData/>
  </xdr:twoCellAnchor>
  <xdr:twoCellAnchor editAs="oneCell">
    <xdr:from>
      <xdr:col>0</xdr:col>
      <xdr:colOff>1291317</xdr:colOff>
      <xdr:row>264</xdr:row>
      <xdr:rowOff>24492</xdr:rowOff>
    </xdr:from>
    <xdr:to>
      <xdr:col>3</xdr:col>
      <xdr:colOff>1235163</xdr:colOff>
      <xdr:row>283</xdr:row>
      <xdr:rowOff>81642</xdr:rowOff>
    </xdr:to>
    <xdr:pic>
      <xdr:nvPicPr>
        <xdr:cNvPr id="12" name="Imagem 11">
          <a:extLst>
            <a:ext uri="{FF2B5EF4-FFF2-40B4-BE49-F238E27FC236}">
              <a16:creationId xmlns:a16="http://schemas.microsoft.com/office/drawing/2014/main" id="{00000000-0008-0000-0E00-00000C000000}"/>
            </a:ext>
          </a:extLst>
        </xdr:cNvPr>
        <xdr:cNvPicPr>
          <a:picLocks noChangeAspect="1"/>
        </xdr:cNvPicPr>
      </xdr:nvPicPr>
      <xdr:blipFill>
        <a:blip xmlns:r="http://schemas.openxmlformats.org/officeDocument/2006/relationships" r:embed="rId11"/>
        <a:stretch>
          <a:fillRect/>
        </a:stretch>
      </xdr:blipFill>
      <xdr:spPr>
        <a:xfrm>
          <a:off x="1291317" y="51459492"/>
          <a:ext cx="5953255" cy="3431721"/>
        </a:xfrm>
        <a:prstGeom prst="rect">
          <a:avLst/>
        </a:prstGeom>
      </xdr:spPr>
    </xdr:pic>
    <xdr:clientData/>
  </xdr:twoCellAnchor>
  <xdr:twoCellAnchor editAs="oneCell">
    <xdr:from>
      <xdr:col>0</xdr:col>
      <xdr:colOff>1079048</xdr:colOff>
      <xdr:row>297</xdr:row>
      <xdr:rowOff>115661</xdr:rowOff>
    </xdr:from>
    <xdr:to>
      <xdr:col>4</xdr:col>
      <xdr:colOff>138740</xdr:colOff>
      <xdr:row>316</xdr:row>
      <xdr:rowOff>77561</xdr:rowOff>
    </xdr:to>
    <xdr:pic>
      <xdr:nvPicPr>
        <xdr:cNvPr id="13" name="Imagem 12">
          <a:extLst>
            <a:ext uri="{FF2B5EF4-FFF2-40B4-BE49-F238E27FC236}">
              <a16:creationId xmlns:a16="http://schemas.microsoft.com/office/drawing/2014/main" id="{00000000-0008-0000-0E00-00000D000000}"/>
            </a:ext>
          </a:extLst>
        </xdr:cNvPr>
        <xdr:cNvPicPr>
          <a:picLocks noChangeAspect="1"/>
        </xdr:cNvPicPr>
      </xdr:nvPicPr>
      <xdr:blipFill>
        <a:blip xmlns:r="http://schemas.openxmlformats.org/officeDocument/2006/relationships" r:embed="rId12"/>
        <a:stretch>
          <a:fillRect/>
        </a:stretch>
      </xdr:blipFill>
      <xdr:spPr>
        <a:xfrm>
          <a:off x="1079048" y="57360911"/>
          <a:ext cx="6367964" cy="3322865"/>
        </a:xfrm>
        <a:prstGeom prst="rect">
          <a:avLst/>
        </a:prstGeom>
      </xdr:spPr>
    </xdr:pic>
    <xdr:clientData/>
  </xdr:twoCellAnchor>
  <xdr:twoCellAnchor editAs="oneCell">
    <xdr:from>
      <xdr:col>0</xdr:col>
      <xdr:colOff>1028700</xdr:colOff>
      <xdr:row>319</xdr:row>
      <xdr:rowOff>166693</xdr:rowOff>
    </xdr:from>
    <xdr:to>
      <xdr:col>4</xdr:col>
      <xdr:colOff>251777</xdr:colOff>
      <xdr:row>341</xdr:row>
      <xdr:rowOff>2352</xdr:rowOff>
    </xdr:to>
    <xdr:pic>
      <xdr:nvPicPr>
        <xdr:cNvPr id="14" name="Imagem 13">
          <a:extLst>
            <a:ext uri="{FF2B5EF4-FFF2-40B4-BE49-F238E27FC236}">
              <a16:creationId xmlns:a16="http://schemas.microsoft.com/office/drawing/2014/main" id="{00000000-0008-0000-0E00-00000E000000}"/>
            </a:ext>
          </a:extLst>
        </xdr:cNvPr>
        <xdr:cNvPicPr>
          <a:picLocks noChangeAspect="1"/>
        </xdr:cNvPicPr>
      </xdr:nvPicPr>
      <xdr:blipFill>
        <a:blip xmlns:r="http://schemas.openxmlformats.org/officeDocument/2006/relationships" r:embed="rId13"/>
        <a:stretch>
          <a:fillRect/>
        </a:stretch>
      </xdr:blipFill>
      <xdr:spPr>
        <a:xfrm>
          <a:off x="1028700" y="61303586"/>
          <a:ext cx="6531349" cy="3723591"/>
        </a:xfrm>
        <a:prstGeom prst="rect">
          <a:avLst/>
        </a:prstGeom>
      </xdr:spPr>
    </xdr:pic>
    <xdr:clientData/>
  </xdr:twoCellAnchor>
  <xdr:twoCellAnchor editAs="oneCell">
    <xdr:from>
      <xdr:col>0</xdr:col>
      <xdr:colOff>514349</xdr:colOff>
      <xdr:row>345</xdr:row>
      <xdr:rowOff>102053</xdr:rowOff>
    </xdr:from>
    <xdr:to>
      <xdr:col>4</xdr:col>
      <xdr:colOff>332334</xdr:colOff>
      <xdr:row>367</xdr:row>
      <xdr:rowOff>13607</xdr:rowOff>
    </xdr:to>
    <xdr:pic>
      <xdr:nvPicPr>
        <xdr:cNvPr id="15" name="Imagem 14">
          <a:extLst>
            <a:ext uri="{FF2B5EF4-FFF2-40B4-BE49-F238E27FC236}">
              <a16:creationId xmlns:a16="http://schemas.microsoft.com/office/drawing/2014/main" id="{00000000-0008-0000-0E00-00000F000000}"/>
            </a:ext>
          </a:extLst>
        </xdr:cNvPr>
        <xdr:cNvPicPr>
          <a:picLocks noChangeAspect="1"/>
        </xdr:cNvPicPr>
      </xdr:nvPicPr>
      <xdr:blipFill>
        <a:blip xmlns:r="http://schemas.openxmlformats.org/officeDocument/2006/relationships" r:embed="rId14"/>
        <a:stretch>
          <a:fillRect/>
        </a:stretch>
      </xdr:blipFill>
      <xdr:spPr>
        <a:xfrm>
          <a:off x="514349" y="65838160"/>
          <a:ext cx="7126257" cy="3884840"/>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0</xdr:col>
          <xdr:colOff>1695450</xdr:colOff>
          <xdr:row>0</xdr:row>
          <xdr:rowOff>123825</xdr:rowOff>
        </xdr:from>
        <xdr:to>
          <xdr:col>0</xdr:col>
          <xdr:colOff>2619375</xdr:colOff>
          <xdr:row>0</xdr:row>
          <xdr:rowOff>819150</xdr:rowOff>
        </xdr:to>
        <xdr:sp macro="" textlink="">
          <xdr:nvSpPr>
            <xdr:cNvPr id="24577" name="Object 1" hidden="1">
              <a:extLst>
                <a:ext uri="{63B3BB69-23CF-44E3-9099-C40C66FF867C}">
                  <a14:compatExt spid="_x0000_s24577"/>
                </a:ext>
                <a:ext uri="{FF2B5EF4-FFF2-40B4-BE49-F238E27FC236}">
                  <a16:creationId xmlns:a16="http://schemas.microsoft.com/office/drawing/2014/main" id="{00000000-0008-0000-0E00-00000160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266700</xdr:colOff>
          <xdr:row>0</xdr:row>
          <xdr:rowOff>38100</xdr:rowOff>
        </xdr:from>
        <xdr:to>
          <xdr:col>1</xdr:col>
          <xdr:colOff>1181100</xdr:colOff>
          <xdr:row>0</xdr:row>
          <xdr:rowOff>723900</xdr:rowOff>
        </xdr:to>
        <xdr:sp macro="" textlink="">
          <xdr:nvSpPr>
            <xdr:cNvPr id="31745" name="Object 1" hidden="1">
              <a:extLst>
                <a:ext uri="{63B3BB69-23CF-44E3-9099-C40C66FF867C}">
                  <a14:compatExt spid="_x0000_s31745"/>
                </a:ext>
                <a:ext uri="{FF2B5EF4-FFF2-40B4-BE49-F238E27FC236}">
                  <a16:creationId xmlns:a16="http://schemas.microsoft.com/office/drawing/2014/main" id="{00000000-0008-0000-0F00-0000017C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628650</xdr:colOff>
          <xdr:row>0</xdr:row>
          <xdr:rowOff>57150</xdr:rowOff>
        </xdr:from>
        <xdr:to>
          <xdr:col>6</xdr:col>
          <xdr:colOff>342900</xdr:colOff>
          <xdr:row>1</xdr:row>
          <xdr:rowOff>257175</xdr:rowOff>
        </xdr:to>
        <xdr:sp macro="" textlink="">
          <xdr:nvSpPr>
            <xdr:cNvPr id="32769" name="Object 1" hidden="1">
              <a:extLst>
                <a:ext uri="{63B3BB69-23CF-44E3-9099-C40C66FF867C}">
                  <a14:compatExt spid="_x0000_s32769"/>
                </a:ext>
                <a:ext uri="{FF2B5EF4-FFF2-40B4-BE49-F238E27FC236}">
                  <a16:creationId xmlns:a16="http://schemas.microsoft.com/office/drawing/2014/main" id="{00000000-0008-0000-1000-00000180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1181100</xdr:colOff>
          <xdr:row>0</xdr:row>
          <xdr:rowOff>114300</xdr:rowOff>
        </xdr:from>
        <xdr:to>
          <xdr:col>0</xdr:col>
          <xdr:colOff>2095500</xdr:colOff>
          <xdr:row>0</xdr:row>
          <xdr:rowOff>800100</xdr:rowOff>
        </xdr:to>
        <xdr:sp macro="" textlink="">
          <xdr:nvSpPr>
            <xdr:cNvPr id="25601" name="Object 1" hidden="1">
              <a:extLst>
                <a:ext uri="{63B3BB69-23CF-44E3-9099-C40C66FF867C}">
                  <a14:compatExt spid="_x0000_s25601"/>
                </a:ext>
                <a:ext uri="{FF2B5EF4-FFF2-40B4-BE49-F238E27FC236}">
                  <a16:creationId xmlns:a16="http://schemas.microsoft.com/office/drawing/2014/main" id="{00000000-0008-0000-0100-0000016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1</xdr:col>
      <xdr:colOff>656491</xdr:colOff>
      <xdr:row>260</xdr:row>
      <xdr:rowOff>79862</xdr:rowOff>
    </xdr:from>
    <xdr:to>
      <xdr:col>5</xdr:col>
      <xdr:colOff>904875</xdr:colOff>
      <xdr:row>271</xdr:row>
      <xdr:rowOff>28575</xdr:rowOff>
    </xdr:to>
    <xdr:pic>
      <xdr:nvPicPr>
        <xdr:cNvPr id="2" name="Imagem 1">
          <a:extLst>
            <a:ext uri="{FF2B5EF4-FFF2-40B4-BE49-F238E27FC236}">
              <a16:creationId xmlns:a16="http://schemas.microsoft.com/office/drawing/2014/main" id="{00000000-0008-0000-0200-000002000000}"/>
            </a:ext>
          </a:extLst>
        </xdr:cNvPr>
        <xdr:cNvPicPr/>
      </xdr:nvPicPr>
      <xdr:blipFill rotWithShape="1">
        <a:blip xmlns:r="http://schemas.openxmlformats.org/officeDocument/2006/relationships" r:embed="rId1"/>
        <a:srcRect l="14789" r="20354" b="28687"/>
        <a:stretch/>
      </xdr:blipFill>
      <xdr:spPr>
        <a:xfrm>
          <a:off x="1485166" y="47942987"/>
          <a:ext cx="3753584" cy="1939438"/>
        </a:xfrm>
        <a:prstGeom prst="rect">
          <a:avLst/>
        </a:prstGeom>
      </xdr:spPr>
    </xdr:pic>
    <xdr:clientData/>
  </xdr:twoCellAnchor>
  <xdr:twoCellAnchor editAs="oneCell">
    <xdr:from>
      <xdr:col>1</xdr:col>
      <xdr:colOff>679937</xdr:colOff>
      <xdr:row>271</xdr:row>
      <xdr:rowOff>165588</xdr:rowOff>
    </xdr:from>
    <xdr:to>
      <xdr:col>5</xdr:col>
      <xdr:colOff>866774</xdr:colOff>
      <xdr:row>283</xdr:row>
      <xdr:rowOff>152399</xdr:rowOff>
    </xdr:to>
    <xdr:pic>
      <xdr:nvPicPr>
        <xdr:cNvPr id="3" name="Imagem 2">
          <a:extLst>
            <a:ext uri="{FF2B5EF4-FFF2-40B4-BE49-F238E27FC236}">
              <a16:creationId xmlns:a16="http://schemas.microsoft.com/office/drawing/2014/main" id="{00000000-0008-0000-0200-000003000000}"/>
            </a:ext>
          </a:extLst>
        </xdr:cNvPr>
        <xdr:cNvPicPr/>
      </xdr:nvPicPr>
      <xdr:blipFill rotWithShape="1">
        <a:blip xmlns:r="http://schemas.openxmlformats.org/officeDocument/2006/relationships" r:embed="rId2"/>
        <a:srcRect r="14248" b="26963"/>
        <a:stretch/>
      </xdr:blipFill>
      <xdr:spPr>
        <a:xfrm>
          <a:off x="1508612" y="50019438"/>
          <a:ext cx="3692037" cy="2158511"/>
        </a:xfrm>
        <a:prstGeom prst="rect">
          <a:avLst/>
        </a:prstGeom>
      </xdr:spPr>
    </xdr:pic>
    <xdr:clientData/>
  </xdr:twoCellAnchor>
  <xdr:twoCellAnchor editAs="oneCell">
    <xdr:from>
      <xdr:col>1</xdr:col>
      <xdr:colOff>689462</xdr:colOff>
      <xdr:row>284</xdr:row>
      <xdr:rowOff>110636</xdr:rowOff>
    </xdr:from>
    <xdr:to>
      <xdr:col>5</xdr:col>
      <xdr:colOff>876299</xdr:colOff>
      <xdr:row>295</xdr:row>
      <xdr:rowOff>114300</xdr:rowOff>
    </xdr:to>
    <xdr:pic>
      <xdr:nvPicPr>
        <xdr:cNvPr id="4" name="Imagem 3">
          <a:extLst>
            <a:ext uri="{FF2B5EF4-FFF2-40B4-BE49-F238E27FC236}">
              <a16:creationId xmlns:a16="http://schemas.microsoft.com/office/drawing/2014/main" id="{00000000-0008-0000-0200-000004000000}"/>
            </a:ext>
          </a:extLst>
        </xdr:cNvPr>
        <xdr:cNvPicPr/>
      </xdr:nvPicPr>
      <xdr:blipFill rotWithShape="1">
        <a:blip xmlns:r="http://schemas.openxmlformats.org/officeDocument/2006/relationships" r:embed="rId3"/>
        <a:srcRect l="14247" r="15470" b="19217"/>
        <a:stretch/>
      </xdr:blipFill>
      <xdr:spPr>
        <a:xfrm>
          <a:off x="1518137" y="52317161"/>
          <a:ext cx="3692037" cy="1994389"/>
        </a:xfrm>
        <a:prstGeom prst="rect">
          <a:avLst/>
        </a:prstGeom>
      </xdr:spPr>
    </xdr:pic>
    <xdr:clientData/>
  </xdr:twoCellAnchor>
  <xdr:twoCellAnchor editAs="oneCell">
    <xdr:from>
      <xdr:col>1</xdr:col>
      <xdr:colOff>611065</xdr:colOff>
      <xdr:row>30</xdr:row>
      <xdr:rowOff>86459</xdr:rowOff>
    </xdr:from>
    <xdr:to>
      <xdr:col>5</xdr:col>
      <xdr:colOff>942974</xdr:colOff>
      <xdr:row>45</xdr:row>
      <xdr:rowOff>0</xdr:rowOff>
    </xdr:to>
    <xdr:pic>
      <xdr:nvPicPr>
        <xdr:cNvPr id="5" name="Imagem 4">
          <a:extLst>
            <a:ext uri="{FF2B5EF4-FFF2-40B4-BE49-F238E27FC236}">
              <a16:creationId xmlns:a16="http://schemas.microsoft.com/office/drawing/2014/main" id="{00000000-0008-0000-0200-000005000000}"/>
            </a:ext>
          </a:extLst>
        </xdr:cNvPr>
        <xdr:cNvPicPr/>
      </xdr:nvPicPr>
      <xdr:blipFill rotWithShape="1">
        <a:blip xmlns:r="http://schemas.openxmlformats.org/officeDocument/2006/relationships" r:embed="rId4"/>
        <a:srcRect l="18724" r="18184" b="9589"/>
        <a:stretch/>
      </xdr:blipFill>
      <xdr:spPr>
        <a:xfrm>
          <a:off x="1439740" y="6134834"/>
          <a:ext cx="3837109" cy="2628166"/>
        </a:xfrm>
        <a:prstGeom prst="rect">
          <a:avLst/>
        </a:prstGeom>
      </xdr:spPr>
    </xdr:pic>
    <xdr:clientData/>
  </xdr:twoCellAnchor>
  <xdr:twoCellAnchor editAs="oneCell">
    <xdr:from>
      <xdr:col>1</xdr:col>
      <xdr:colOff>650630</xdr:colOff>
      <xdr:row>58</xdr:row>
      <xdr:rowOff>19785</xdr:rowOff>
    </xdr:from>
    <xdr:to>
      <xdr:col>5</xdr:col>
      <xdr:colOff>971550</xdr:colOff>
      <xdr:row>70</xdr:row>
      <xdr:rowOff>133350</xdr:rowOff>
    </xdr:to>
    <xdr:pic>
      <xdr:nvPicPr>
        <xdr:cNvPr id="6" name="Imagem 5">
          <a:extLst>
            <a:ext uri="{FF2B5EF4-FFF2-40B4-BE49-F238E27FC236}">
              <a16:creationId xmlns:a16="http://schemas.microsoft.com/office/drawing/2014/main" id="{00000000-0008-0000-0200-000006000000}"/>
            </a:ext>
          </a:extLst>
        </xdr:cNvPr>
        <xdr:cNvPicPr/>
      </xdr:nvPicPr>
      <xdr:blipFill rotWithShape="1">
        <a:blip xmlns:r="http://schemas.openxmlformats.org/officeDocument/2006/relationships" r:embed="rId5"/>
        <a:srcRect r="12213"/>
        <a:stretch/>
      </xdr:blipFill>
      <xdr:spPr>
        <a:xfrm>
          <a:off x="1479305" y="11135460"/>
          <a:ext cx="3826120" cy="2285265"/>
        </a:xfrm>
        <a:prstGeom prst="rect">
          <a:avLst/>
        </a:prstGeom>
      </xdr:spPr>
    </xdr:pic>
    <xdr:clientData/>
  </xdr:twoCellAnchor>
  <xdr:twoCellAnchor editAs="oneCell">
    <xdr:from>
      <xdr:col>1</xdr:col>
      <xdr:colOff>636711</xdr:colOff>
      <xdr:row>45</xdr:row>
      <xdr:rowOff>148737</xdr:rowOff>
    </xdr:from>
    <xdr:to>
      <xdr:col>5</xdr:col>
      <xdr:colOff>962025</xdr:colOff>
      <xdr:row>57</xdr:row>
      <xdr:rowOff>19050</xdr:rowOff>
    </xdr:to>
    <xdr:pic>
      <xdr:nvPicPr>
        <xdr:cNvPr id="7" name="Imagem 6">
          <a:extLst>
            <a:ext uri="{FF2B5EF4-FFF2-40B4-BE49-F238E27FC236}">
              <a16:creationId xmlns:a16="http://schemas.microsoft.com/office/drawing/2014/main" id="{00000000-0008-0000-0200-000007000000}"/>
            </a:ext>
          </a:extLst>
        </xdr:cNvPr>
        <xdr:cNvPicPr/>
      </xdr:nvPicPr>
      <xdr:blipFill rotWithShape="1">
        <a:blip xmlns:r="http://schemas.openxmlformats.org/officeDocument/2006/relationships" r:embed="rId6"/>
        <a:srcRect l="3256" r="26596" b="20643"/>
        <a:stretch/>
      </xdr:blipFill>
      <xdr:spPr>
        <a:xfrm>
          <a:off x="1465386" y="8911737"/>
          <a:ext cx="3830514" cy="2042013"/>
        </a:xfrm>
        <a:prstGeom prst="rect">
          <a:avLst/>
        </a:prstGeom>
      </xdr:spPr>
    </xdr:pic>
    <xdr:clientData/>
  </xdr:twoCellAnchor>
  <xdr:twoCellAnchor editAs="oneCell">
    <xdr:from>
      <xdr:col>1</xdr:col>
      <xdr:colOff>606669</xdr:colOff>
      <xdr:row>126</xdr:row>
      <xdr:rowOff>106971</xdr:rowOff>
    </xdr:from>
    <xdr:to>
      <xdr:col>5</xdr:col>
      <xdr:colOff>942975</xdr:colOff>
      <xdr:row>138</xdr:row>
      <xdr:rowOff>85724</xdr:rowOff>
    </xdr:to>
    <xdr:pic>
      <xdr:nvPicPr>
        <xdr:cNvPr id="8" name="Imagem 7">
          <a:extLst>
            <a:ext uri="{FF2B5EF4-FFF2-40B4-BE49-F238E27FC236}">
              <a16:creationId xmlns:a16="http://schemas.microsoft.com/office/drawing/2014/main" id="{00000000-0008-0000-0200-000008000000}"/>
            </a:ext>
          </a:extLst>
        </xdr:cNvPr>
        <xdr:cNvPicPr/>
      </xdr:nvPicPr>
      <xdr:blipFill rotWithShape="1">
        <a:blip xmlns:r="http://schemas.openxmlformats.org/officeDocument/2006/relationships" r:embed="rId7"/>
        <a:srcRect l="6512" r="9635" b="12717"/>
        <a:stretch/>
      </xdr:blipFill>
      <xdr:spPr>
        <a:xfrm>
          <a:off x="1435344" y="23605146"/>
          <a:ext cx="3841506" cy="2150453"/>
        </a:xfrm>
        <a:prstGeom prst="rect">
          <a:avLst/>
        </a:prstGeom>
      </xdr:spPr>
    </xdr:pic>
    <xdr:clientData/>
  </xdr:twoCellAnchor>
  <xdr:twoCellAnchor editAs="oneCell">
    <xdr:from>
      <xdr:col>1</xdr:col>
      <xdr:colOff>608869</xdr:colOff>
      <xdr:row>139</xdr:row>
      <xdr:rowOff>35902</xdr:rowOff>
    </xdr:from>
    <xdr:to>
      <xdr:col>5</xdr:col>
      <xdr:colOff>952500</xdr:colOff>
      <xdr:row>150</xdr:row>
      <xdr:rowOff>123825</xdr:rowOff>
    </xdr:to>
    <xdr:pic>
      <xdr:nvPicPr>
        <xdr:cNvPr id="9" name="Imagem 8">
          <a:extLst>
            <a:ext uri="{FF2B5EF4-FFF2-40B4-BE49-F238E27FC236}">
              <a16:creationId xmlns:a16="http://schemas.microsoft.com/office/drawing/2014/main" id="{00000000-0008-0000-0200-000009000000}"/>
            </a:ext>
          </a:extLst>
        </xdr:cNvPr>
        <xdr:cNvPicPr/>
      </xdr:nvPicPr>
      <xdr:blipFill rotWithShape="1">
        <a:blip xmlns:r="http://schemas.openxmlformats.org/officeDocument/2006/relationships" r:embed="rId8"/>
        <a:srcRect l="18046" r="19676" b="8757"/>
        <a:stretch/>
      </xdr:blipFill>
      <xdr:spPr>
        <a:xfrm>
          <a:off x="1437544" y="25886752"/>
          <a:ext cx="3848831" cy="2078648"/>
        </a:xfrm>
        <a:prstGeom prst="rect">
          <a:avLst/>
        </a:prstGeom>
      </xdr:spPr>
    </xdr:pic>
    <xdr:clientData/>
  </xdr:twoCellAnchor>
  <xdr:twoCellAnchor editAs="oneCell">
    <xdr:from>
      <xdr:col>1</xdr:col>
      <xdr:colOff>615460</xdr:colOff>
      <xdr:row>151</xdr:row>
      <xdr:rowOff>98180</xdr:rowOff>
    </xdr:from>
    <xdr:to>
      <xdr:col>5</xdr:col>
      <xdr:colOff>933450</xdr:colOff>
      <xdr:row>161</xdr:row>
      <xdr:rowOff>95250</xdr:rowOff>
    </xdr:to>
    <xdr:pic>
      <xdr:nvPicPr>
        <xdr:cNvPr id="10" name="Imagem 9">
          <a:extLst>
            <a:ext uri="{FF2B5EF4-FFF2-40B4-BE49-F238E27FC236}">
              <a16:creationId xmlns:a16="http://schemas.microsoft.com/office/drawing/2014/main" id="{00000000-0008-0000-0200-00000A000000}"/>
            </a:ext>
          </a:extLst>
        </xdr:cNvPr>
        <xdr:cNvPicPr/>
      </xdr:nvPicPr>
      <xdr:blipFill rotWithShape="1">
        <a:blip xmlns:r="http://schemas.openxmlformats.org/officeDocument/2006/relationships" r:embed="rId9"/>
        <a:srcRect l="16749" r="24318" b="16755"/>
        <a:stretch/>
      </xdr:blipFill>
      <xdr:spPr>
        <a:xfrm>
          <a:off x="1444135" y="28120730"/>
          <a:ext cx="3823190" cy="1806820"/>
        </a:xfrm>
        <a:prstGeom prst="rect">
          <a:avLst/>
        </a:prstGeom>
      </xdr:spPr>
    </xdr:pic>
    <xdr:clientData/>
  </xdr:twoCellAnchor>
  <xdr:twoCellAnchor editAs="oneCell">
    <xdr:from>
      <xdr:col>1</xdr:col>
      <xdr:colOff>618393</xdr:colOff>
      <xdr:row>81</xdr:row>
      <xdr:rowOff>2198</xdr:rowOff>
    </xdr:from>
    <xdr:to>
      <xdr:col>5</xdr:col>
      <xdr:colOff>885825</xdr:colOff>
      <xdr:row>92</xdr:row>
      <xdr:rowOff>142875</xdr:rowOff>
    </xdr:to>
    <xdr:pic>
      <xdr:nvPicPr>
        <xdr:cNvPr id="11" name="Imagem 10">
          <a:extLst>
            <a:ext uri="{FF2B5EF4-FFF2-40B4-BE49-F238E27FC236}">
              <a16:creationId xmlns:a16="http://schemas.microsoft.com/office/drawing/2014/main" id="{00000000-0008-0000-0200-00000B000000}"/>
            </a:ext>
          </a:extLst>
        </xdr:cNvPr>
        <xdr:cNvPicPr/>
      </xdr:nvPicPr>
      <xdr:blipFill rotWithShape="1">
        <a:blip xmlns:r="http://schemas.openxmlformats.org/officeDocument/2006/relationships" r:embed="rId10"/>
        <a:srcRect l="6241" r="12485"/>
        <a:stretch/>
      </xdr:blipFill>
      <xdr:spPr>
        <a:xfrm>
          <a:off x="1447068" y="15318398"/>
          <a:ext cx="3772632" cy="2131402"/>
        </a:xfrm>
        <a:prstGeom prst="rect">
          <a:avLst/>
        </a:prstGeom>
      </xdr:spPr>
    </xdr:pic>
    <xdr:clientData/>
  </xdr:twoCellAnchor>
  <xdr:twoCellAnchor editAs="oneCell">
    <xdr:from>
      <xdr:col>1</xdr:col>
      <xdr:colOff>624253</xdr:colOff>
      <xdr:row>93</xdr:row>
      <xdr:rowOff>91587</xdr:rowOff>
    </xdr:from>
    <xdr:to>
      <xdr:col>5</xdr:col>
      <xdr:colOff>866775</xdr:colOff>
      <xdr:row>105</xdr:row>
      <xdr:rowOff>9525</xdr:rowOff>
    </xdr:to>
    <xdr:pic>
      <xdr:nvPicPr>
        <xdr:cNvPr id="12" name="Imagem 11">
          <a:extLst>
            <a:ext uri="{FF2B5EF4-FFF2-40B4-BE49-F238E27FC236}">
              <a16:creationId xmlns:a16="http://schemas.microsoft.com/office/drawing/2014/main" id="{00000000-0008-0000-0200-00000C000000}"/>
            </a:ext>
          </a:extLst>
        </xdr:cNvPr>
        <xdr:cNvPicPr/>
      </xdr:nvPicPr>
      <xdr:blipFill rotWithShape="1">
        <a:blip xmlns:r="http://schemas.openxmlformats.org/officeDocument/2006/relationships" r:embed="rId11"/>
        <a:srcRect l="19538" r="17912" b="9165"/>
        <a:stretch/>
      </xdr:blipFill>
      <xdr:spPr>
        <a:xfrm>
          <a:off x="1452928" y="17579487"/>
          <a:ext cx="3747722" cy="2089638"/>
        </a:xfrm>
        <a:prstGeom prst="rect">
          <a:avLst/>
        </a:prstGeom>
      </xdr:spPr>
    </xdr:pic>
    <xdr:clientData/>
  </xdr:twoCellAnchor>
  <xdr:twoCellAnchor editAs="oneCell">
    <xdr:from>
      <xdr:col>1</xdr:col>
      <xdr:colOff>657957</xdr:colOff>
      <xdr:row>105</xdr:row>
      <xdr:rowOff>120162</xdr:rowOff>
    </xdr:from>
    <xdr:to>
      <xdr:col>5</xdr:col>
      <xdr:colOff>866774</xdr:colOff>
      <xdr:row>117</xdr:row>
      <xdr:rowOff>0</xdr:rowOff>
    </xdr:to>
    <xdr:pic>
      <xdr:nvPicPr>
        <xdr:cNvPr id="13" name="Imagem 12">
          <a:extLst>
            <a:ext uri="{FF2B5EF4-FFF2-40B4-BE49-F238E27FC236}">
              <a16:creationId xmlns:a16="http://schemas.microsoft.com/office/drawing/2014/main" id="{00000000-0008-0000-0200-00000D000000}"/>
            </a:ext>
          </a:extLst>
        </xdr:cNvPr>
        <xdr:cNvPicPr/>
      </xdr:nvPicPr>
      <xdr:blipFill rotWithShape="1">
        <a:blip xmlns:r="http://schemas.openxmlformats.org/officeDocument/2006/relationships" r:embed="rId12"/>
        <a:srcRect l="18724" r="16555" b="8294"/>
        <a:stretch/>
      </xdr:blipFill>
      <xdr:spPr>
        <a:xfrm>
          <a:off x="1486632" y="19779762"/>
          <a:ext cx="3714017" cy="2051538"/>
        </a:xfrm>
        <a:prstGeom prst="rect">
          <a:avLst/>
        </a:prstGeom>
      </xdr:spPr>
    </xdr:pic>
    <xdr:clientData/>
  </xdr:twoCellAnchor>
  <xdr:twoCellAnchor editAs="oneCell">
    <xdr:from>
      <xdr:col>1</xdr:col>
      <xdr:colOff>599342</xdr:colOff>
      <xdr:row>170</xdr:row>
      <xdr:rowOff>176579</xdr:rowOff>
    </xdr:from>
    <xdr:to>
      <xdr:col>5</xdr:col>
      <xdr:colOff>914400</xdr:colOff>
      <xdr:row>181</xdr:row>
      <xdr:rowOff>76199</xdr:rowOff>
    </xdr:to>
    <xdr:pic>
      <xdr:nvPicPr>
        <xdr:cNvPr id="14" name="Imagem 13">
          <a:extLst>
            <a:ext uri="{FF2B5EF4-FFF2-40B4-BE49-F238E27FC236}">
              <a16:creationId xmlns:a16="http://schemas.microsoft.com/office/drawing/2014/main" id="{00000000-0008-0000-0200-00000E000000}"/>
            </a:ext>
          </a:extLst>
        </xdr:cNvPr>
        <xdr:cNvPicPr/>
      </xdr:nvPicPr>
      <xdr:blipFill rotWithShape="1">
        <a:blip xmlns:r="http://schemas.openxmlformats.org/officeDocument/2006/relationships" r:embed="rId13"/>
        <a:srcRect l="8005" r="15742" b="14712"/>
        <a:stretch/>
      </xdr:blipFill>
      <xdr:spPr>
        <a:xfrm>
          <a:off x="1428017" y="31675754"/>
          <a:ext cx="3820258" cy="1890345"/>
        </a:xfrm>
        <a:prstGeom prst="rect">
          <a:avLst/>
        </a:prstGeom>
      </xdr:spPr>
    </xdr:pic>
    <xdr:clientData/>
  </xdr:twoCellAnchor>
  <xdr:twoCellAnchor editAs="oneCell">
    <xdr:from>
      <xdr:col>1</xdr:col>
      <xdr:colOff>599343</xdr:colOff>
      <xdr:row>182</xdr:row>
      <xdr:rowOff>12456</xdr:rowOff>
    </xdr:from>
    <xdr:to>
      <xdr:col>5</xdr:col>
      <xdr:colOff>914400</xdr:colOff>
      <xdr:row>193</xdr:row>
      <xdr:rowOff>133350</xdr:rowOff>
    </xdr:to>
    <xdr:pic>
      <xdr:nvPicPr>
        <xdr:cNvPr id="15" name="Imagem 14">
          <a:extLst>
            <a:ext uri="{FF2B5EF4-FFF2-40B4-BE49-F238E27FC236}">
              <a16:creationId xmlns:a16="http://schemas.microsoft.com/office/drawing/2014/main" id="{00000000-0008-0000-0200-00000F000000}"/>
            </a:ext>
          </a:extLst>
        </xdr:cNvPr>
        <xdr:cNvPicPr/>
      </xdr:nvPicPr>
      <xdr:blipFill rotWithShape="1">
        <a:blip xmlns:r="http://schemas.openxmlformats.org/officeDocument/2006/relationships" r:embed="rId14"/>
        <a:srcRect l="13434" r="33399" b="10657"/>
        <a:stretch/>
      </xdr:blipFill>
      <xdr:spPr>
        <a:xfrm>
          <a:off x="1428018" y="33683331"/>
          <a:ext cx="3820257" cy="2111619"/>
        </a:xfrm>
        <a:prstGeom prst="rect">
          <a:avLst/>
        </a:prstGeom>
      </xdr:spPr>
    </xdr:pic>
    <xdr:clientData/>
  </xdr:twoCellAnchor>
  <xdr:twoCellAnchor editAs="oneCell">
    <xdr:from>
      <xdr:col>1</xdr:col>
      <xdr:colOff>620588</xdr:colOff>
      <xdr:row>194</xdr:row>
      <xdr:rowOff>57882</xdr:rowOff>
    </xdr:from>
    <xdr:to>
      <xdr:col>5</xdr:col>
      <xdr:colOff>914399</xdr:colOff>
      <xdr:row>205</xdr:row>
      <xdr:rowOff>28574</xdr:rowOff>
    </xdr:to>
    <xdr:pic>
      <xdr:nvPicPr>
        <xdr:cNvPr id="16" name="Imagem 15">
          <a:extLst>
            <a:ext uri="{FF2B5EF4-FFF2-40B4-BE49-F238E27FC236}">
              <a16:creationId xmlns:a16="http://schemas.microsoft.com/office/drawing/2014/main" id="{00000000-0008-0000-0200-000010000000}"/>
            </a:ext>
          </a:extLst>
        </xdr:cNvPr>
        <xdr:cNvPicPr/>
      </xdr:nvPicPr>
      <xdr:blipFill rotWithShape="1">
        <a:blip xmlns:r="http://schemas.openxmlformats.org/officeDocument/2006/relationships" r:embed="rId15"/>
        <a:srcRect l="6241" r="11670" b="13270"/>
        <a:stretch/>
      </xdr:blipFill>
      <xdr:spPr>
        <a:xfrm>
          <a:off x="1449263" y="35909982"/>
          <a:ext cx="3799011" cy="1961417"/>
        </a:xfrm>
        <a:prstGeom prst="rect">
          <a:avLst/>
        </a:prstGeom>
      </xdr:spPr>
    </xdr:pic>
    <xdr:clientData/>
  </xdr:twoCellAnchor>
  <xdr:twoCellAnchor editAs="oneCell">
    <xdr:from>
      <xdr:col>1</xdr:col>
      <xdr:colOff>660887</xdr:colOff>
      <xdr:row>215</xdr:row>
      <xdr:rowOff>19780</xdr:rowOff>
    </xdr:from>
    <xdr:to>
      <xdr:col>5</xdr:col>
      <xdr:colOff>904874</xdr:colOff>
      <xdr:row>226</xdr:row>
      <xdr:rowOff>180974</xdr:rowOff>
    </xdr:to>
    <xdr:pic>
      <xdr:nvPicPr>
        <xdr:cNvPr id="17" name="Imagem 16">
          <a:extLst>
            <a:ext uri="{FF2B5EF4-FFF2-40B4-BE49-F238E27FC236}">
              <a16:creationId xmlns:a16="http://schemas.microsoft.com/office/drawing/2014/main" id="{00000000-0008-0000-0200-000011000000}"/>
            </a:ext>
          </a:extLst>
        </xdr:cNvPr>
        <xdr:cNvPicPr/>
      </xdr:nvPicPr>
      <xdr:blipFill rotWithShape="1">
        <a:blip xmlns:r="http://schemas.openxmlformats.org/officeDocument/2006/relationships" r:embed="rId16"/>
        <a:srcRect l="6376" r="11128" b="7159"/>
        <a:stretch/>
      </xdr:blipFill>
      <xdr:spPr>
        <a:xfrm>
          <a:off x="1489562" y="39700930"/>
          <a:ext cx="3749187" cy="2151919"/>
        </a:xfrm>
        <a:prstGeom prst="rect">
          <a:avLst/>
        </a:prstGeom>
      </xdr:spPr>
    </xdr:pic>
    <xdr:clientData/>
  </xdr:twoCellAnchor>
  <xdr:twoCellAnchor editAs="oneCell">
    <xdr:from>
      <xdr:col>1</xdr:col>
      <xdr:colOff>669681</xdr:colOff>
      <xdr:row>227</xdr:row>
      <xdr:rowOff>172184</xdr:rowOff>
    </xdr:from>
    <xdr:to>
      <xdr:col>5</xdr:col>
      <xdr:colOff>904874</xdr:colOff>
      <xdr:row>239</xdr:row>
      <xdr:rowOff>66675</xdr:rowOff>
    </xdr:to>
    <xdr:pic>
      <xdr:nvPicPr>
        <xdr:cNvPr id="18" name="Imagem 17">
          <a:extLst>
            <a:ext uri="{FF2B5EF4-FFF2-40B4-BE49-F238E27FC236}">
              <a16:creationId xmlns:a16="http://schemas.microsoft.com/office/drawing/2014/main" id="{00000000-0008-0000-0200-000012000000}"/>
            </a:ext>
          </a:extLst>
        </xdr:cNvPr>
        <xdr:cNvPicPr/>
      </xdr:nvPicPr>
      <xdr:blipFill rotWithShape="1">
        <a:blip xmlns:r="http://schemas.openxmlformats.org/officeDocument/2006/relationships" r:embed="rId17"/>
        <a:srcRect l="10990" r="31209" b="13705"/>
        <a:stretch/>
      </xdr:blipFill>
      <xdr:spPr>
        <a:xfrm>
          <a:off x="1498356" y="42025034"/>
          <a:ext cx="3740393" cy="2066191"/>
        </a:xfrm>
        <a:prstGeom prst="rect">
          <a:avLst/>
        </a:prstGeom>
      </xdr:spPr>
    </xdr:pic>
    <xdr:clientData/>
  </xdr:twoCellAnchor>
  <xdr:twoCellAnchor editAs="oneCell">
    <xdr:from>
      <xdr:col>1</xdr:col>
      <xdr:colOff>665288</xdr:colOff>
      <xdr:row>240</xdr:row>
      <xdr:rowOff>17585</xdr:rowOff>
    </xdr:from>
    <xdr:to>
      <xdr:col>5</xdr:col>
      <xdr:colOff>895349</xdr:colOff>
      <xdr:row>250</xdr:row>
      <xdr:rowOff>104775</xdr:rowOff>
    </xdr:to>
    <xdr:pic>
      <xdr:nvPicPr>
        <xdr:cNvPr id="19" name="Imagem 18">
          <a:extLst>
            <a:ext uri="{FF2B5EF4-FFF2-40B4-BE49-F238E27FC236}">
              <a16:creationId xmlns:a16="http://schemas.microsoft.com/office/drawing/2014/main" id="{00000000-0008-0000-0200-000013000000}"/>
            </a:ext>
          </a:extLst>
        </xdr:cNvPr>
        <xdr:cNvPicPr/>
      </xdr:nvPicPr>
      <xdr:blipFill rotWithShape="1">
        <a:blip xmlns:r="http://schemas.openxmlformats.org/officeDocument/2006/relationships" r:embed="rId18"/>
        <a:srcRect l="4206" r="13705" b="11106"/>
        <a:stretch/>
      </xdr:blipFill>
      <xdr:spPr>
        <a:xfrm>
          <a:off x="1493963" y="44223110"/>
          <a:ext cx="3735261" cy="1896940"/>
        </a:xfrm>
        <a:prstGeom prst="rect">
          <a:avLst/>
        </a:prstGeom>
      </xdr:spPr>
    </xdr:pic>
    <xdr:clientData/>
  </xdr:twoCellAnchor>
  <xdr:twoCellAnchor editAs="oneCell">
    <xdr:from>
      <xdr:col>1</xdr:col>
      <xdr:colOff>668948</xdr:colOff>
      <xdr:row>305</xdr:row>
      <xdr:rowOff>57879</xdr:rowOff>
    </xdr:from>
    <xdr:to>
      <xdr:col>5</xdr:col>
      <xdr:colOff>914400</xdr:colOff>
      <xdr:row>318</xdr:row>
      <xdr:rowOff>38099</xdr:rowOff>
    </xdr:to>
    <xdr:pic>
      <xdr:nvPicPr>
        <xdr:cNvPr id="20" name="Imagem 19">
          <a:extLst>
            <a:ext uri="{FF2B5EF4-FFF2-40B4-BE49-F238E27FC236}">
              <a16:creationId xmlns:a16="http://schemas.microsoft.com/office/drawing/2014/main" id="{00000000-0008-0000-0200-000014000000}"/>
            </a:ext>
          </a:extLst>
        </xdr:cNvPr>
        <xdr:cNvPicPr/>
      </xdr:nvPicPr>
      <xdr:blipFill rotWithShape="1">
        <a:blip xmlns:r="http://schemas.openxmlformats.org/officeDocument/2006/relationships" r:embed="rId19"/>
        <a:srcRect l="5699" r="16962" b="6540"/>
        <a:stretch/>
      </xdr:blipFill>
      <xdr:spPr>
        <a:xfrm>
          <a:off x="1497623" y="56102979"/>
          <a:ext cx="3750652" cy="2332895"/>
        </a:xfrm>
        <a:prstGeom prst="rect">
          <a:avLst/>
        </a:prstGeom>
      </xdr:spPr>
    </xdr:pic>
    <xdr:clientData/>
  </xdr:twoCellAnchor>
  <xdr:twoCellAnchor editAs="oneCell">
    <xdr:from>
      <xdr:col>1</xdr:col>
      <xdr:colOff>686531</xdr:colOff>
      <xdr:row>318</xdr:row>
      <xdr:rowOff>174378</xdr:rowOff>
    </xdr:from>
    <xdr:to>
      <xdr:col>5</xdr:col>
      <xdr:colOff>914400</xdr:colOff>
      <xdr:row>330</xdr:row>
      <xdr:rowOff>38099</xdr:rowOff>
    </xdr:to>
    <xdr:pic>
      <xdr:nvPicPr>
        <xdr:cNvPr id="21" name="Imagem 20">
          <a:extLst>
            <a:ext uri="{FF2B5EF4-FFF2-40B4-BE49-F238E27FC236}">
              <a16:creationId xmlns:a16="http://schemas.microsoft.com/office/drawing/2014/main" id="{00000000-0008-0000-0200-000015000000}"/>
            </a:ext>
          </a:extLst>
        </xdr:cNvPr>
        <xdr:cNvPicPr/>
      </xdr:nvPicPr>
      <xdr:blipFill rotWithShape="1">
        <a:blip xmlns:r="http://schemas.openxmlformats.org/officeDocument/2006/relationships" r:embed="rId20"/>
        <a:srcRect l="10177" r="12077" b="19130"/>
        <a:stretch/>
      </xdr:blipFill>
      <xdr:spPr>
        <a:xfrm>
          <a:off x="1515206" y="58572153"/>
          <a:ext cx="3733069" cy="2035421"/>
        </a:xfrm>
        <a:prstGeom prst="rect">
          <a:avLst/>
        </a:prstGeom>
      </xdr:spPr>
    </xdr:pic>
    <xdr:clientData/>
  </xdr:twoCellAnchor>
  <xdr:twoCellAnchor editAs="oneCell">
    <xdr:from>
      <xdr:col>1</xdr:col>
      <xdr:colOff>690929</xdr:colOff>
      <xdr:row>331</xdr:row>
      <xdr:rowOff>2928</xdr:rowOff>
    </xdr:from>
    <xdr:to>
      <xdr:col>5</xdr:col>
      <xdr:colOff>895350</xdr:colOff>
      <xdr:row>342</xdr:row>
      <xdr:rowOff>9524</xdr:rowOff>
    </xdr:to>
    <xdr:pic>
      <xdr:nvPicPr>
        <xdr:cNvPr id="22" name="Imagem 21">
          <a:extLst>
            <a:ext uri="{FF2B5EF4-FFF2-40B4-BE49-F238E27FC236}">
              <a16:creationId xmlns:a16="http://schemas.microsoft.com/office/drawing/2014/main" id="{00000000-0008-0000-0200-000016000000}"/>
            </a:ext>
          </a:extLst>
        </xdr:cNvPr>
        <xdr:cNvPicPr/>
      </xdr:nvPicPr>
      <xdr:blipFill rotWithShape="1">
        <a:blip xmlns:r="http://schemas.openxmlformats.org/officeDocument/2006/relationships" r:embed="rId21"/>
        <a:srcRect l="6628" r="8934"/>
        <a:stretch/>
      </xdr:blipFill>
      <xdr:spPr>
        <a:xfrm>
          <a:off x="1519604" y="60762903"/>
          <a:ext cx="3709621" cy="1997321"/>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0</xdr:col>
          <xdr:colOff>219075</xdr:colOff>
          <xdr:row>0</xdr:row>
          <xdr:rowOff>66675</xdr:rowOff>
        </xdr:from>
        <xdr:to>
          <xdr:col>1</xdr:col>
          <xdr:colOff>304800</xdr:colOff>
          <xdr:row>0</xdr:row>
          <xdr:rowOff>762000</xdr:rowOff>
        </xdr:to>
        <xdr:sp macro="" textlink="">
          <xdr:nvSpPr>
            <xdr:cNvPr id="2049" name="Object 1" hidden="1">
              <a:extLst>
                <a:ext uri="{63B3BB69-23CF-44E3-9099-C40C66FF867C}">
                  <a14:compatExt spid="_x0000_s2049"/>
                </a:ext>
                <a:ext uri="{FF2B5EF4-FFF2-40B4-BE49-F238E27FC236}">
                  <a16:creationId xmlns:a16="http://schemas.microsoft.com/office/drawing/2014/main" id="{00000000-0008-0000-0200-00000108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438150</xdr:colOff>
          <xdr:row>0</xdr:row>
          <xdr:rowOff>114300</xdr:rowOff>
        </xdr:from>
        <xdr:to>
          <xdr:col>1</xdr:col>
          <xdr:colOff>285750</xdr:colOff>
          <xdr:row>4</xdr:row>
          <xdr:rowOff>19050</xdr:rowOff>
        </xdr:to>
        <xdr:sp macro="" textlink="">
          <xdr:nvSpPr>
            <xdr:cNvPr id="18433" name="Object 1" hidden="1">
              <a:extLst>
                <a:ext uri="{63B3BB69-23CF-44E3-9099-C40C66FF867C}">
                  <a14:compatExt spid="_x0000_s18433"/>
                </a:ext>
                <a:ext uri="{FF2B5EF4-FFF2-40B4-BE49-F238E27FC236}">
                  <a16:creationId xmlns:a16="http://schemas.microsoft.com/office/drawing/2014/main" id="{00000000-0008-0000-0300-00000148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editAs="oneCell">
    <xdr:from>
      <xdr:col>1</xdr:col>
      <xdr:colOff>114300</xdr:colOff>
      <xdr:row>63</xdr:row>
      <xdr:rowOff>161925</xdr:rowOff>
    </xdr:from>
    <xdr:to>
      <xdr:col>7</xdr:col>
      <xdr:colOff>901095</xdr:colOff>
      <xdr:row>88</xdr:row>
      <xdr:rowOff>9526</xdr:rowOff>
    </xdr:to>
    <xdr:pic>
      <xdr:nvPicPr>
        <xdr:cNvPr id="2" name="Imagem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942975" y="12782550"/>
          <a:ext cx="7114709" cy="4610100"/>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2</xdr:col>
          <xdr:colOff>381000</xdr:colOff>
          <xdr:row>0</xdr:row>
          <xdr:rowOff>95250</xdr:rowOff>
        </xdr:from>
        <xdr:to>
          <xdr:col>2</xdr:col>
          <xdr:colOff>1295400</xdr:colOff>
          <xdr:row>0</xdr:row>
          <xdr:rowOff>781050</xdr:rowOff>
        </xdr:to>
        <xdr:sp macro="" textlink="">
          <xdr:nvSpPr>
            <xdr:cNvPr id="19457" name="Object 1" hidden="1">
              <a:extLst>
                <a:ext uri="{63B3BB69-23CF-44E3-9099-C40C66FF867C}">
                  <a14:compatExt spid="_x0000_s19457"/>
                </a:ext>
                <a:ext uri="{FF2B5EF4-FFF2-40B4-BE49-F238E27FC236}">
                  <a16:creationId xmlns:a16="http://schemas.microsoft.com/office/drawing/2014/main" id="{00000000-0008-0000-0400-0000014C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xdr:twoCellAnchor editAs="oneCell">
    <xdr:from>
      <xdr:col>0</xdr:col>
      <xdr:colOff>419100</xdr:colOff>
      <xdr:row>42</xdr:row>
      <xdr:rowOff>28575</xdr:rowOff>
    </xdr:from>
    <xdr:to>
      <xdr:col>5</xdr:col>
      <xdr:colOff>705744</xdr:colOff>
      <xdr:row>65</xdr:row>
      <xdr:rowOff>142875</xdr:rowOff>
    </xdr:to>
    <xdr:pic>
      <xdr:nvPicPr>
        <xdr:cNvPr id="2" name="Imagem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419100" y="8963025"/>
          <a:ext cx="7116069" cy="4610100"/>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0</xdr:col>
          <xdr:colOff>2524125</xdr:colOff>
          <xdr:row>0</xdr:row>
          <xdr:rowOff>76200</xdr:rowOff>
        </xdr:from>
        <xdr:to>
          <xdr:col>1</xdr:col>
          <xdr:colOff>742950</xdr:colOff>
          <xdr:row>0</xdr:row>
          <xdr:rowOff>762000</xdr:rowOff>
        </xdr:to>
        <xdr:sp macro="" textlink="">
          <xdr:nvSpPr>
            <xdr:cNvPr id="20481" name="Object 1" hidden="1">
              <a:extLst>
                <a:ext uri="{63B3BB69-23CF-44E3-9099-C40C66FF867C}">
                  <a14:compatExt spid="_x0000_s20481"/>
                </a:ext>
                <a:ext uri="{FF2B5EF4-FFF2-40B4-BE49-F238E27FC236}">
                  <a16:creationId xmlns:a16="http://schemas.microsoft.com/office/drawing/2014/main" id="{00000000-0008-0000-0500-00000150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xdr:twoCellAnchor editAs="oneCell">
    <xdr:from>
      <xdr:col>1</xdr:col>
      <xdr:colOff>537482</xdr:colOff>
      <xdr:row>92</xdr:row>
      <xdr:rowOff>76200</xdr:rowOff>
    </xdr:from>
    <xdr:to>
      <xdr:col>6</xdr:col>
      <xdr:colOff>666750</xdr:colOff>
      <xdr:row>112</xdr:row>
      <xdr:rowOff>8495</xdr:rowOff>
    </xdr:to>
    <xdr:pic>
      <xdr:nvPicPr>
        <xdr:cNvPr id="15" name="Imagem 14">
          <a:extLst>
            <a:ext uri="{FF2B5EF4-FFF2-40B4-BE49-F238E27FC236}">
              <a16:creationId xmlns:a16="http://schemas.microsoft.com/office/drawing/2014/main" id="{00000000-0008-0000-0600-00000F000000}"/>
            </a:ext>
          </a:extLst>
        </xdr:cNvPr>
        <xdr:cNvPicPr>
          <a:picLocks noChangeAspect="1"/>
        </xdr:cNvPicPr>
      </xdr:nvPicPr>
      <xdr:blipFill>
        <a:blip xmlns:r="http://schemas.openxmlformats.org/officeDocument/2006/relationships" r:embed="rId1"/>
        <a:stretch>
          <a:fillRect/>
        </a:stretch>
      </xdr:blipFill>
      <xdr:spPr>
        <a:xfrm>
          <a:off x="1734911" y="39890700"/>
          <a:ext cx="6592660" cy="3470152"/>
        </a:xfrm>
        <a:prstGeom prst="rect">
          <a:avLst/>
        </a:prstGeom>
      </xdr:spPr>
    </xdr:pic>
    <xdr:clientData/>
  </xdr:twoCellAnchor>
  <xdr:twoCellAnchor editAs="oneCell">
    <xdr:from>
      <xdr:col>1</xdr:col>
      <xdr:colOff>537485</xdr:colOff>
      <xdr:row>118</xdr:row>
      <xdr:rowOff>69398</xdr:rowOff>
    </xdr:from>
    <xdr:to>
      <xdr:col>6</xdr:col>
      <xdr:colOff>1351799</xdr:colOff>
      <xdr:row>134</xdr:row>
      <xdr:rowOff>155121</xdr:rowOff>
    </xdr:to>
    <xdr:pic>
      <xdr:nvPicPr>
        <xdr:cNvPr id="16" name="Imagem 15">
          <a:extLst>
            <a:ext uri="{FF2B5EF4-FFF2-40B4-BE49-F238E27FC236}">
              <a16:creationId xmlns:a16="http://schemas.microsoft.com/office/drawing/2014/main" id="{00000000-0008-0000-0600-000010000000}"/>
            </a:ext>
          </a:extLst>
        </xdr:cNvPr>
        <xdr:cNvPicPr>
          <a:picLocks noChangeAspect="1"/>
        </xdr:cNvPicPr>
      </xdr:nvPicPr>
      <xdr:blipFill>
        <a:blip xmlns:r="http://schemas.openxmlformats.org/officeDocument/2006/relationships" r:embed="rId2"/>
        <a:stretch>
          <a:fillRect/>
        </a:stretch>
      </xdr:blipFill>
      <xdr:spPr>
        <a:xfrm>
          <a:off x="1734914" y="44483112"/>
          <a:ext cx="7277706" cy="2916009"/>
        </a:xfrm>
        <a:prstGeom prst="rect">
          <a:avLst/>
        </a:prstGeom>
      </xdr:spPr>
    </xdr:pic>
    <xdr:clientData/>
  </xdr:twoCellAnchor>
  <xdr:twoCellAnchor editAs="oneCell">
    <xdr:from>
      <xdr:col>1</xdr:col>
      <xdr:colOff>615044</xdr:colOff>
      <xdr:row>140</xdr:row>
      <xdr:rowOff>47003</xdr:rowOff>
    </xdr:from>
    <xdr:to>
      <xdr:col>6</xdr:col>
      <xdr:colOff>1259116</xdr:colOff>
      <xdr:row>164</xdr:row>
      <xdr:rowOff>23133</xdr:rowOff>
    </xdr:to>
    <xdr:pic>
      <xdr:nvPicPr>
        <xdr:cNvPr id="17" name="Imagem 16">
          <a:extLst>
            <a:ext uri="{FF2B5EF4-FFF2-40B4-BE49-F238E27FC236}">
              <a16:creationId xmlns:a16="http://schemas.microsoft.com/office/drawing/2014/main" id="{00000000-0008-0000-0600-000011000000}"/>
            </a:ext>
          </a:extLst>
        </xdr:cNvPr>
        <xdr:cNvPicPr>
          <a:picLocks noChangeAspect="1"/>
        </xdr:cNvPicPr>
      </xdr:nvPicPr>
      <xdr:blipFill>
        <a:blip xmlns:r="http://schemas.openxmlformats.org/officeDocument/2006/relationships" r:embed="rId3"/>
        <a:stretch>
          <a:fillRect/>
        </a:stretch>
      </xdr:blipFill>
      <xdr:spPr>
        <a:xfrm>
          <a:off x="1805669" y="48738803"/>
          <a:ext cx="7111547" cy="4338580"/>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xdr:col>
          <xdr:colOff>381000</xdr:colOff>
          <xdr:row>0</xdr:row>
          <xdr:rowOff>161925</xdr:rowOff>
        </xdr:from>
        <xdr:to>
          <xdr:col>2</xdr:col>
          <xdr:colOff>0</xdr:colOff>
          <xdr:row>2</xdr:row>
          <xdr:rowOff>295275</xdr:rowOff>
        </xdr:to>
        <xdr:sp macro="" textlink="">
          <xdr:nvSpPr>
            <xdr:cNvPr id="21505" name="Object 1" hidden="1">
              <a:extLst>
                <a:ext uri="{63B3BB69-23CF-44E3-9099-C40C66FF867C}">
                  <a14:compatExt spid="_x0000_s21505"/>
                </a:ext>
                <a:ext uri="{FF2B5EF4-FFF2-40B4-BE49-F238E27FC236}">
                  <a16:creationId xmlns:a16="http://schemas.microsoft.com/office/drawing/2014/main" id="{00000000-0008-0000-0600-0000015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369795</xdr:colOff>
      <xdr:row>66</xdr:row>
      <xdr:rowOff>78440</xdr:rowOff>
    </xdr:from>
    <xdr:to>
      <xdr:col>6</xdr:col>
      <xdr:colOff>1838304</xdr:colOff>
      <xdr:row>86</xdr:row>
      <xdr:rowOff>2343</xdr:rowOff>
    </xdr:to>
    <xdr:pic>
      <xdr:nvPicPr>
        <xdr:cNvPr id="7" name="Imagem 6">
          <a:extLst>
            <a:ext uri="{FF2B5EF4-FFF2-40B4-BE49-F238E27FC236}">
              <a16:creationId xmlns:a16="http://schemas.microsoft.com/office/drawing/2014/main" id="{00000000-0008-0000-0600-000007000000}"/>
            </a:ext>
          </a:extLst>
        </xdr:cNvPr>
        <xdr:cNvPicPr>
          <a:picLocks noChangeAspect="1"/>
        </xdr:cNvPicPr>
      </xdr:nvPicPr>
      <xdr:blipFill>
        <a:blip xmlns:r="http://schemas.openxmlformats.org/officeDocument/2006/relationships" r:embed="rId4"/>
        <a:stretch>
          <a:fillRect/>
        </a:stretch>
      </xdr:blipFill>
      <xdr:spPr>
        <a:xfrm>
          <a:off x="369795" y="35264911"/>
          <a:ext cx="9133333" cy="3666667"/>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1076325</xdr:colOff>
          <xdr:row>0</xdr:row>
          <xdr:rowOff>133350</xdr:rowOff>
        </xdr:from>
        <xdr:to>
          <xdr:col>1</xdr:col>
          <xdr:colOff>800100</xdr:colOff>
          <xdr:row>2</xdr:row>
          <xdr:rowOff>304800</xdr:rowOff>
        </xdr:to>
        <xdr:sp macro="" textlink="">
          <xdr:nvSpPr>
            <xdr:cNvPr id="22529" name="Object 1" hidden="1">
              <a:extLst>
                <a:ext uri="{63B3BB69-23CF-44E3-9099-C40C66FF867C}">
                  <a14:compatExt spid="_x0000_s22529"/>
                </a:ext>
                <a:ext uri="{FF2B5EF4-FFF2-40B4-BE49-F238E27FC236}">
                  <a16:creationId xmlns:a16="http://schemas.microsoft.com/office/drawing/2014/main" id="{00000000-0008-0000-0700-00000158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xdr:col>
      <xdr:colOff>537482</xdr:colOff>
      <xdr:row>92</xdr:row>
      <xdr:rowOff>76200</xdr:rowOff>
    </xdr:from>
    <xdr:to>
      <xdr:col>6</xdr:col>
      <xdr:colOff>666750</xdr:colOff>
      <xdr:row>109</xdr:row>
      <xdr:rowOff>140484</xdr:rowOff>
    </xdr:to>
    <xdr:pic>
      <xdr:nvPicPr>
        <xdr:cNvPr id="9" name="Imagem 8">
          <a:extLst>
            <a:ext uri="{FF2B5EF4-FFF2-40B4-BE49-F238E27FC236}">
              <a16:creationId xmlns:a16="http://schemas.microsoft.com/office/drawing/2014/main" id="{00000000-0008-0000-0700-000009000000}"/>
            </a:ext>
          </a:extLst>
        </xdr:cNvPr>
        <xdr:cNvPicPr>
          <a:picLocks noChangeAspect="1"/>
        </xdr:cNvPicPr>
      </xdr:nvPicPr>
      <xdr:blipFill>
        <a:blip xmlns:r="http://schemas.openxmlformats.org/officeDocument/2006/relationships" r:embed="rId1"/>
        <a:stretch>
          <a:fillRect/>
        </a:stretch>
      </xdr:blipFill>
      <xdr:spPr>
        <a:xfrm>
          <a:off x="1728107" y="40081200"/>
          <a:ext cx="6596743" cy="3551795"/>
        </a:xfrm>
        <a:prstGeom prst="rect">
          <a:avLst/>
        </a:prstGeom>
      </xdr:spPr>
    </xdr:pic>
    <xdr:clientData/>
  </xdr:twoCellAnchor>
  <xdr:twoCellAnchor editAs="oneCell">
    <xdr:from>
      <xdr:col>1</xdr:col>
      <xdr:colOff>537485</xdr:colOff>
      <xdr:row>118</xdr:row>
      <xdr:rowOff>69398</xdr:rowOff>
    </xdr:from>
    <xdr:to>
      <xdr:col>6</xdr:col>
      <xdr:colOff>1351799</xdr:colOff>
      <xdr:row>132</xdr:row>
      <xdr:rowOff>185057</xdr:rowOff>
    </xdr:to>
    <xdr:pic>
      <xdr:nvPicPr>
        <xdr:cNvPr id="10" name="Imagem 9">
          <a:extLst>
            <a:ext uri="{FF2B5EF4-FFF2-40B4-BE49-F238E27FC236}">
              <a16:creationId xmlns:a16="http://schemas.microsoft.com/office/drawing/2014/main" id="{00000000-0008-0000-0700-00000A000000}"/>
            </a:ext>
          </a:extLst>
        </xdr:cNvPr>
        <xdr:cNvPicPr>
          <a:picLocks noChangeAspect="1"/>
        </xdr:cNvPicPr>
      </xdr:nvPicPr>
      <xdr:blipFill>
        <a:blip xmlns:r="http://schemas.openxmlformats.org/officeDocument/2006/relationships" r:embed="rId2"/>
        <a:stretch>
          <a:fillRect/>
        </a:stretch>
      </xdr:blipFill>
      <xdr:spPr>
        <a:xfrm>
          <a:off x="1728110" y="44779748"/>
          <a:ext cx="7281789" cy="2981323"/>
        </a:xfrm>
        <a:prstGeom prst="rect">
          <a:avLst/>
        </a:prstGeom>
      </xdr:spPr>
    </xdr:pic>
    <xdr:clientData/>
  </xdr:twoCellAnchor>
  <xdr:twoCellAnchor editAs="oneCell">
    <xdr:from>
      <xdr:col>1</xdr:col>
      <xdr:colOff>615044</xdr:colOff>
      <xdr:row>140</xdr:row>
      <xdr:rowOff>47003</xdr:rowOff>
    </xdr:from>
    <xdr:to>
      <xdr:col>6</xdr:col>
      <xdr:colOff>1259116</xdr:colOff>
      <xdr:row>161</xdr:row>
      <xdr:rowOff>47626</xdr:rowOff>
    </xdr:to>
    <xdr:pic>
      <xdr:nvPicPr>
        <xdr:cNvPr id="11" name="Imagem 10">
          <a:extLst>
            <a:ext uri="{FF2B5EF4-FFF2-40B4-BE49-F238E27FC236}">
              <a16:creationId xmlns:a16="http://schemas.microsoft.com/office/drawing/2014/main" id="{00000000-0008-0000-0700-00000B000000}"/>
            </a:ext>
          </a:extLst>
        </xdr:cNvPr>
        <xdr:cNvPicPr>
          <a:picLocks noChangeAspect="1"/>
        </xdr:cNvPicPr>
      </xdr:nvPicPr>
      <xdr:blipFill>
        <a:blip xmlns:r="http://schemas.openxmlformats.org/officeDocument/2006/relationships" r:embed="rId3"/>
        <a:stretch>
          <a:fillRect/>
        </a:stretch>
      </xdr:blipFill>
      <xdr:spPr>
        <a:xfrm>
          <a:off x="1805669" y="48738803"/>
          <a:ext cx="7111547" cy="4338580"/>
        </a:xfrm>
        <a:prstGeom prst="rect">
          <a:avLst/>
        </a:prstGeom>
      </xdr:spPr>
    </xdr:pic>
    <xdr:clientData/>
  </xdr:twoCellAnchor>
  <xdr:twoCellAnchor editAs="oneCell">
    <xdr:from>
      <xdr:col>0</xdr:col>
      <xdr:colOff>549088</xdr:colOff>
      <xdr:row>66</xdr:row>
      <xdr:rowOff>123266</xdr:rowOff>
    </xdr:from>
    <xdr:to>
      <xdr:col>6</xdr:col>
      <xdr:colOff>2017597</xdr:colOff>
      <xdr:row>86</xdr:row>
      <xdr:rowOff>47168</xdr:rowOff>
    </xdr:to>
    <xdr:pic>
      <xdr:nvPicPr>
        <xdr:cNvPr id="2" name="Imagem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4"/>
        <a:stretch>
          <a:fillRect/>
        </a:stretch>
      </xdr:blipFill>
      <xdr:spPr>
        <a:xfrm>
          <a:off x="549088" y="36844942"/>
          <a:ext cx="9133333" cy="3666667"/>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581025</xdr:colOff>
          <xdr:row>0</xdr:row>
          <xdr:rowOff>114300</xdr:rowOff>
        </xdr:from>
        <xdr:to>
          <xdr:col>5</xdr:col>
          <xdr:colOff>123825</xdr:colOff>
          <xdr:row>0</xdr:row>
          <xdr:rowOff>800100</xdr:rowOff>
        </xdr:to>
        <xdr:sp macro="" textlink="">
          <xdr:nvSpPr>
            <xdr:cNvPr id="26625" name="Object 1" hidden="1">
              <a:extLst>
                <a:ext uri="{63B3BB69-23CF-44E3-9099-C40C66FF867C}">
                  <a14:compatExt spid="_x0000_s26625"/>
                </a:ext>
                <a:ext uri="{FF2B5EF4-FFF2-40B4-BE49-F238E27FC236}">
                  <a16:creationId xmlns:a16="http://schemas.microsoft.com/office/drawing/2014/main" id="{00000000-0008-0000-0800-00000168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richData/_rels/richValueRel.xml.rels><?xml version="1.0" encoding="UTF-8" standalone="yes"?>
<Relationships xmlns="http://schemas.openxmlformats.org/package/2006/relationships"><Relationship Id="rId1" Type="http://schemas.openxmlformats.org/officeDocument/2006/relationships/image" Target="../media/image100.png"/></Relationship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Tema do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image" Target="../media/image1.emf"/><Relationship Id="rId5" Type="http://schemas.openxmlformats.org/officeDocument/2006/relationships/oleObject" Target="../embeddings/oleObject1.bin"/><Relationship Id="rId4" Type="http://schemas.openxmlformats.org/officeDocument/2006/relationships/vmlDrawing" Target="../drawings/vmlDrawing2.vm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0.xml"/><Relationship Id="rId1" Type="http://schemas.openxmlformats.org/officeDocument/2006/relationships/printerSettings" Target="../printerSettings/printerSettings10.bin"/><Relationship Id="rId6" Type="http://schemas.openxmlformats.org/officeDocument/2006/relationships/image" Target="../media/image1.emf"/><Relationship Id="rId5" Type="http://schemas.openxmlformats.org/officeDocument/2006/relationships/oleObject" Target="../embeddings/oleObject10.bin"/><Relationship Id="rId4" Type="http://schemas.openxmlformats.org/officeDocument/2006/relationships/vmlDrawing" Target="../drawings/vmlDrawing16.v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1.xml"/><Relationship Id="rId1" Type="http://schemas.openxmlformats.org/officeDocument/2006/relationships/printerSettings" Target="../printerSettings/printerSettings11.bin"/><Relationship Id="rId6" Type="http://schemas.openxmlformats.org/officeDocument/2006/relationships/image" Target="../media/image1.emf"/><Relationship Id="rId5" Type="http://schemas.openxmlformats.org/officeDocument/2006/relationships/oleObject" Target="../embeddings/oleObject11.bin"/><Relationship Id="rId4" Type="http://schemas.openxmlformats.org/officeDocument/2006/relationships/vmlDrawing" Target="../drawings/vmlDrawing18.v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12.xml"/><Relationship Id="rId1" Type="http://schemas.openxmlformats.org/officeDocument/2006/relationships/printerSettings" Target="../printerSettings/printerSettings12.bin"/><Relationship Id="rId6" Type="http://schemas.openxmlformats.org/officeDocument/2006/relationships/image" Target="../media/image1.emf"/><Relationship Id="rId5" Type="http://schemas.openxmlformats.org/officeDocument/2006/relationships/oleObject" Target="../embeddings/oleObject12.bin"/><Relationship Id="rId4" Type="http://schemas.openxmlformats.org/officeDocument/2006/relationships/vmlDrawing" Target="../drawings/vmlDrawing20.vml"/></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13.bin"/><Relationship Id="rId7" Type="http://schemas.openxmlformats.org/officeDocument/2006/relationships/image" Target="../media/image1.emf"/><Relationship Id="rId2" Type="http://schemas.openxmlformats.org/officeDocument/2006/relationships/hyperlink" Target="https://veiculos.fipe.org.br/" TargetMode="External"/><Relationship Id="rId1" Type="http://schemas.openxmlformats.org/officeDocument/2006/relationships/hyperlink" Target="https://www.pneufree.com.br/pneu/pneu-195-65r15-91h-powercontact-2-continental" TargetMode="External"/><Relationship Id="rId6" Type="http://schemas.openxmlformats.org/officeDocument/2006/relationships/oleObject" Target="../embeddings/oleObject13.bin"/><Relationship Id="rId5" Type="http://schemas.openxmlformats.org/officeDocument/2006/relationships/vmlDrawing" Target="../drawings/vmlDrawing21.vml"/><Relationship Id="rId4"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22.vml"/><Relationship Id="rId2" Type="http://schemas.openxmlformats.org/officeDocument/2006/relationships/drawing" Target="../drawings/drawing14.xml"/><Relationship Id="rId1" Type="http://schemas.openxmlformats.org/officeDocument/2006/relationships/printerSettings" Target="../printerSettings/printerSettings14.bin"/><Relationship Id="rId6" Type="http://schemas.openxmlformats.org/officeDocument/2006/relationships/image" Target="../media/image1.emf"/><Relationship Id="rId5" Type="http://schemas.openxmlformats.org/officeDocument/2006/relationships/oleObject" Target="../embeddings/oleObject14.bin"/><Relationship Id="rId4" Type="http://schemas.openxmlformats.org/officeDocument/2006/relationships/vmlDrawing" Target="../drawings/vmlDrawing23.vml"/></Relationships>
</file>

<file path=xl/worksheets/_rels/sheet15.xml.rels><?xml version="1.0" encoding="UTF-8" standalone="yes"?>
<Relationships xmlns="http://schemas.openxmlformats.org/package/2006/relationships"><Relationship Id="rId8" Type="http://schemas.openxmlformats.org/officeDocument/2006/relationships/vmlDrawing" Target="../drawings/vmlDrawing25.vml"/><Relationship Id="rId3" Type="http://schemas.openxmlformats.org/officeDocument/2006/relationships/hyperlink" Target="https://www.angeloni.com.br/eletro/armario-office-versatil-alto-com-chave-1013a-kappesberg-itapua-448120/p" TargetMode="External"/><Relationship Id="rId7" Type="http://schemas.openxmlformats.org/officeDocument/2006/relationships/vmlDrawing" Target="../drawings/vmlDrawing24.vml"/><Relationship Id="rId2" Type="http://schemas.openxmlformats.org/officeDocument/2006/relationships/hyperlink" Target="https://www.magazineluiza.com.br/mesa-para-computador-escrivaninha-home-office-estudos-2-gavetas-1-nicho-escritorio-marrom-escuro-notavel/p/ge7fg1g7bb/mo/meav/?seller_id=arede&amp;srsltid=AfmBOorm_AHgrwfnGAaoof3kd8u83QKJSxnOSU-giTh4Tv-jVFvnJZnb5-I" TargetMode="External"/><Relationship Id="rId1" Type="http://schemas.openxmlformats.org/officeDocument/2006/relationships/hyperlink" Target="https://paranettelecom.com.br/" TargetMode="External"/><Relationship Id="rId6" Type="http://schemas.openxmlformats.org/officeDocument/2006/relationships/drawing" Target="../drawings/drawing15.xml"/><Relationship Id="rId5" Type="http://schemas.openxmlformats.org/officeDocument/2006/relationships/printerSettings" Target="../printerSettings/printerSettings15.bin"/><Relationship Id="rId10" Type="http://schemas.openxmlformats.org/officeDocument/2006/relationships/image" Target="../media/image1.emf"/><Relationship Id="rId4" Type="http://schemas.openxmlformats.org/officeDocument/2006/relationships/hyperlink" Target="https://www.amazon.com.br/Arm%C3%A1rio-Escrit%C3%B3rio-Portas-Kappesberg-Itapu%C3%A3/dp/B0C28TFF6G?source=ps-sl-shoppingads-lpcontext&amp;ref_=fplfs&amp;psc=1&amp;smid=A5JVAXGT9G2CN" TargetMode="External"/><Relationship Id="rId9" Type="http://schemas.openxmlformats.org/officeDocument/2006/relationships/oleObject" Target="../embeddings/oleObject15.bin"/></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26.vml"/><Relationship Id="rId2" Type="http://schemas.openxmlformats.org/officeDocument/2006/relationships/drawing" Target="../drawings/drawing16.xml"/><Relationship Id="rId1" Type="http://schemas.openxmlformats.org/officeDocument/2006/relationships/printerSettings" Target="../printerSettings/printerSettings16.bin"/><Relationship Id="rId6" Type="http://schemas.openxmlformats.org/officeDocument/2006/relationships/image" Target="../media/image1.emf"/><Relationship Id="rId5" Type="http://schemas.openxmlformats.org/officeDocument/2006/relationships/oleObject" Target="../embeddings/oleObject16.bin"/><Relationship Id="rId4" Type="http://schemas.openxmlformats.org/officeDocument/2006/relationships/vmlDrawing" Target="../drawings/vmlDrawing27.v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28.vml"/><Relationship Id="rId2" Type="http://schemas.openxmlformats.org/officeDocument/2006/relationships/drawing" Target="../drawings/drawing17.xml"/><Relationship Id="rId1" Type="http://schemas.openxmlformats.org/officeDocument/2006/relationships/printerSettings" Target="../printerSettings/printerSettings17.bin"/><Relationship Id="rId6" Type="http://schemas.openxmlformats.org/officeDocument/2006/relationships/image" Target="../media/image1.emf"/><Relationship Id="rId5" Type="http://schemas.openxmlformats.org/officeDocument/2006/relationships/oleObject" Target="../embeddings/oleObject17.bin"/><Relationship Id="rId4" Type="http://schemas.openxmlformats.org/officeDocument/2006/relationships/vmlDrawing" Target="../drawings/vmlDrawing29.v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image" Target="../media/image1.emf"/><Relationship Id="rId5" Type="http://schemas.openxmlformats.org/officeDocument/2006/relationships/oleObject" Target="../embeddings/oleObject2.bin"/><Relationship Id="rId4" Type="http://schemas.openxmlformats.org/officeDocument/2006/relationships/vmlDrawing" Target="../drawings/vmlDrawing4.v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image" Target="../media/image1.emf"/><Relationship Id="rId5" Type="http://schemas.openxmlformats.org/officeDocument/2006/relationships/oleObject" Target="../embeddings/oleObject3.bin"/><Relationship Id="rId4" Type="http://schemas.openxmlformats.org/officeDocument/2006/relationships/vmlDrawing" Target="../drawings/vmlDrawing6.v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4.bin"/><Relationship Id="rId5" Type="http://schemas.openxmlformats.org/officeDocument/2006/relationships/image" Target="../media/image1.emf"/><Relationship Id="rId4" Type="http://schemas.openxmlformats.org/officeDocument/2006/relationships/oleObject" Target="../embeddings/oleObject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image" Target="../media/image1.emf"/><Relationship Id="rId5" Type="http://schemas.openxmlformats.org/officeDocument/2006/relationships/oleObject" Target="../embeddings/oleObject5.bin"/><Relationship Id="rId4" Type="http://schemas.openxmlformats.org/officeDocument/2006/relationships/vmlDrawing" Target="../drawings/vmlDrawing9.v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image" Target="../media/image1.emf"/><Relationship Id="rId5" Type="http://schemas.openxmlformats.org/officeDocument/2006/relationships/oleObject" Target="../embeddings/oleObject6.bin"/><Relationship Id="rId4" Type="http://schemas.openxmlformats.org/officeDocument/2006/relationships/vmlDrawing" Target="../drawings/vmlDrawing11.vm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7.bin"/><Relationship Id="rId1" Type="http://schemas.openxmlformats.org/officeDocument/2006/relationships/hyperlink" Target="https://www.pneustore.com.br/pneu-kumho-aro-22-5-krd55-275-80r22-5-149-146l-16-lonas-16010020" TargetMode="External"/><Relationship Id="rId6" Type="http://schemas.openxmlformats.org/officeDocument/2006/relationships/image" Target="../media/image1.emf"/><Relationship Id="rId5" Type="http://schemas.openxmlformats.org/officeDocument/2006/relationships/oleObject" Target="../embeddings/oleObject7.bin"/><Relationship Id="rId4" Type="http://schemas.openxmlformats.org/officeDocument/2006/relationships/vmlDrawing" Target="../drawings/vmlDrawing12.vm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8.bin"/><Relationship Id="rId1" Type="http://schemas.openxmlformats.org/officeDocument/2006/relationships/hyperlink" Target="https://www.pneustore.com.br/pneu-kumho-aro-22-5-krd55-275-80r22-5-149-146l-16-lonas-16010020" TargetMode="External"/><Relationship Id="rId6" Type="http://schemas.openxmlformats.org/officeDocument/2006/relationships/image" Target="../media/image1.emf"/><Relationship Id="rId5" Type="http://schemas.openxmlformats.org/officeDocument/2006/relationships/oleObject" Target="../embeddings/oleObject8.bin"/><Relationship Id="rId4" Type="http://schemas.openxmlformats.org/officeDocument/2006/relationships/vmlDrawing" Target="../drawings/vmlDrawing13.v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9.xml"/><Relationship Id="rId1" Type="http://schemas.openxmlformats.org/officeDocument/2006/relationships/printerSettings" Target="../printerSettings/printerSettings9.bin"/><Relationship Id="rId5" Type="http://schemas.openxmlformats.org/officeDocument/2006/relationships/image" Target="../media/image1.emf"/><Relationship Id="rId4" Type="http://schemas.openxmlformats.org/officeDocument/2006/relationships/oleObject" Target="../embeddings/oleObject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A2CAA8-0774-493C-97CB-C366ED3B4975}">
  <sheetPr>
    <tabColor theme="7" tint="0.79998168889431442"/>
    <pageSetUpPr fitToPage="1"/>
  </sheetPr>
  <dimension ref="A1:M88"/>
  <sheetViews>
    <sheetView view="pageBreakPreview" topLeftCell="A7" zoomScaleNormal="100" zoomScaleSheetLayoutView="100" workbookViewId="0">
      <selection activeCell="D9" sqref="D9"/>
    </sheetView>
  </sheetViews>
  <sheetFormatPr defaultColWidth="9.125" defaultRowHeight="12.75"/>
  <cols>
    <col min="1" max="1" width="49.125" style="1" bestFit="1" customWidth="1"/>
    <col min="2" max="2" width="9.75" style="2" bestFit="1" customWidth="1"/>
    <col min="3" max="3" width="9.625" style="1" bestFit="1" customWidth="1"/>
    <col min="4" max="4" width="32.375" style="1" customWidth="1"/>
    <col min="5" max="5" width="29.875" style="1" customWidth="1"/>
    <col min="6" max="11" width="9.125" style="1"/>
    <col min="12" max="12" width="14" style="1" bestFit="1" customWidth="1"/>
    <col min="13" max="16384" width="9.125" style="1"/>
  </cols>
  <sheetData>
    <row r="1" spans="1:12" ht="53.25" customHeight="1" thickBot="1">
      <c r="A1" s="991" t="s">
        <v>654</v>
      </c>
      <c r="B1" s="992"/>
      <c r="C1" s="992"/>
      <c r="D1" s="992"/>
      <c r="E1" s="993"/>
      <c r="F1"/>
      <c r="G1"/>
    </row>
    <row r="2" spans="1:12" ht="53.25" customHeight="1" thickBot="1">
      <c r="A2" s="994" t="s">
        <v>655</v>
      </c>
      <c r="B2" s="995"/>
      <c r="C2" s="995"/>
      <c r="D2" s="995"/>
      <c r="E2" s="996"/>
      <c r="F2"/>
      <c r="G2"/>
    </row>
    <row r="3" spans="1:12" ht="15.75" thickBot="1">
      <c r="A3" s="984" t="s">
        <v>112</v>
      </c>
      <c r="B3" s="985"/>
      <c r="C3" s="985"/>
      <c r="D3" s="985"/>
      <c r="E3" s="986"/>
      <c r="F3"/>
      <c r="G3"/>
    </row>
    <row r="4" spans="1:12" ht="15">
      <c r="A4" s="833"/>
      <c r="B4" s="834"/>
      <c r="C4" s="835"/>
      <c r="D4" s="835"/>
      <c r="E4" s="836"/>
    </row>
    <row r="5" spans="1:12" ht="15">
      <c r="A5" s="837" t="s">
        <v>114</v>
      </c>
      <c r="B5" s="838">
        <f>365-52-10</f>
        <v>303</v>
      </c>
      <c r="C5" s="322" t="s">
        <v>544</v>
      </c>
      <c r="D5" s="322"/>
      <c r="E5" s="839"/>
    </row>
    <row r="6" spans="1:12" ht="15">
      <c r="A6" s="837" t="s">
        <v>113</v>
      </c>
      <c r="B6" s="840">
        <f>B5/12</f>
        <v>25.25</v>
      </c>
      <c r="C6" s="322" t="s">
        <v>0</v>
      </c>
      <c r="D6" s="322"/>
      <c r="E6" s="839"/>
    </row>
    <row r="7" spans="1:12" ht="15">
      <c r="A7" s="837" t="s">
        <v>115</v>
      </c>
      <c r="B7" s="838">
        <f>365-52-52-10</f>
        <v>251</v>
      </c>
      <c r="C7" s="322" t="s">
        <v>544</v>
      </c>
      <c r="D7" s="322"/>
      <c r="E7" s="839"/>
    </row>
    <row r="8" spans="1:12" ht="15">
      <c r="A8" s="837" t="s">
        <v>542</v>
      </c>
      <c r="B8" s="838">
        <f>semanas_mês</f>
        <v>4.3452000000000002</v>
      </c>
      <c r="C8" s="322" t="s">
        <v>543</v>
      </c>
      <c r="D8" s="322"/>
      <c r="E8" s="839"/>
    </row>
    <row r="9" spans="1:12" ht="15">
      <c r="A9" s="837" t="s">
        <v>116</v>
      </c>
      <c r="B9" s="840">
        <f>B7/12</f>
        <v>20.916666666666668</v>
      </c>
      <c r="C9" s="322" t="s">
        <v>0</v>
      </c>
      <c r="D9" s="322"/>
      <c r="E9" s="839"/>
    </row>
    <row r="10" spans="1:12" ht="15">
      <c r="A10" s="837" t="s">
        <v>604</v>
      </c>
      <c r="B10" s="841">
        <v>6.44</v>
      </c>
      <c r="C10" s="425"/>
      <c r="D10" s="842" t="s">
        <v>142</v>
      </c>
      <c r="E10" s="839"/>
    </row>
    <row r="11" spans="1:12" ht="26.25" customHeight="1">
      <c r="A11" s="843" t="s">
        <v>605</v>
      </c>
      <c r="B11" s="841">
        <v>7.01</v>
      </c>
      <c r="C11" s="425"/>
      <c r="D11" s="989" t="s">
        <v>396</v>
      </c>
      <c r="E11" s="990"/>
    </row>
    <row r="12" spans="1:12" ht="15">
      <c r="A12" s="837" t="s">
        <v>435</v>
      </c>
      <c r="B12" s="844">
        <v>0.23</v>
      </c>
      <c r="C12" s="425"/>
      <c r="D12" s="987" t="s">
        <v>434</v>
      </c>
      <c r="E12" s="988"/>
    </row>
    <row r="13" spans="1:12" ht="15">
      <c r="A13" s="845" t="s">
        <v>93</v>
      </c>
      <c r="B13" s="846"/>
      <c r="C13" s="425"/>
      <c r="D13" s="987"/>
      <c r="E13" s="988"/>
    </row>
    <row r="14" spans="1:12" ht="18">
      <c r="A14" s="847" t="s">
        <v>94</v>
      </c>
      <c r="B14" s="848">
        <v>0.14649999999999999</v>
      </c>
      <c r="C14" s="425"/>
      <c r="D14" s="842" t="s">
        <v>256</v>
      </c>
      <c r="E14" s="839"/>
      <c r="L14" s="3"/>
    </row>
    <row r="15" spans="1:12" ht="15.75" thickBot="1">
      <c r="A15" s="849"/>
      <c r="B15" s="850"/>
      <c r="C15" s="850"/>
      <c r="D15" s="851"/>
      <c r="E15" s="852"/>
    </row>
    <row r="16" spans="1:12" ht="14.25">
      <c r="A16" s="853"/>
      <c r="B16" s="123"/>
      <c r="C16" s="123"/>
      <c r="D16" s="854"/>
      <c r="E16" s="855"/>
    </row>
    <row r="17" spans="1:11" ht="14.25">
      <c r="A17" s="853"/>
      <c r="B17" s="123"/>
      <c r="C17" s="123"/>
      <c r="D17" s="856"/>
      <c r="E17" s="855"/>
      <c r="H17" s="7"/>
    </row>
    <row r="18" spans="1:11" ht="14.25">
      <c r="A18" s="853"/>
      <c r="B18" s="123"/>
      <c r="C18" s="123"/>
      <c r="D18" s="854"/>
      <c r="E18" s="855"/>
      <c r="H18" s="7"/>
      <c r="I18" s="7"/>
    </row>
    <row r="19" spans="1:11" ht="14.25">
      <c r="A19" s="853"/>
      <c r="B19" s="123"/>
      <c r="C19" s="123"/>
      <c r="D19" s="854"/>
      <c r="E19" s="855"/>
      <c r="H19" s="7"/>
      <c r="I19" s="7"/>
    </row>
    <row r="20" spans="1:11" ht="14.25">
      <c r="A20" s="853"/>
      <c r="B20" s="123"/>
      <c r="C20" s="123"/>
      <c r="D20" s="857"/>
      <c r="E20" s="858"/>
      <c r="F20" s="7"/>
      <c r="G20" s="7"/>
      <c r="H20" s="7"/>
      <c r="I20" s="7"/>
      <c r="K20" s="6"/>
    </row>
    <row r="21" spans="1:11" ht="14.25">
      <c r="A21" s="853"/>
      <c r="B21" s="123"/>
      <c r="C21" s="123"/>
      <c r="D21" s="857"/>
      <c r="E21" s="858"/>
      <c r="F21" s="7"/>
      <c r="G21" s="7"/>
      <c r="H21" s="7"/>
      <c r="I21" s="7"/>
      <c r="K21" s="6"/>
    </row>
    <row r="22" spans="1:11" ht="14.25">
      <c r="A22" s="853"/>
      <c r="B22" s="123"/>
      <c r="C22" s="123"/>
      <c r="D22" s="854"/>
      <c r="E22" s="855"/>
      <c r="H22" s="7"/>
      <c r="I22" s="7"/>
    </row>
    <row r="23" spans="1:11" ht="14.25">
      <c r="A23" s="853"/>
      <c r="B23" s="123"/>
      <c r="C23" s="123"/>
      <c r="D23" s="854"/>
      <c r="E23" s="855"/>
      <c r="H23" s="7"/>
      <c r="I23" s="7"/>
      <c r="J23" s="7"/>
      <c r="K23" s="6"/>
    </row>
    <row r="24" spans="1:11" ht="14.25">
      <c r="A24" s="853"/>
      <c r="B24" s="123"/>
      <c r="C24" s="123"/>
      <c r="D24" s="854"/>
      <c r="E24" s="855"/>
      <c r="H24" s="7"/>
      <c r="I24" s="7"/>
      <c r="J24" s="7"/>
      <c r="K24" s="6"/>
    </row>
    <row r="25" spans="1:11" ht="14.25">
      <c r="A25" s="853"/>
      <c r="B25" s="123"/>
      <c r="C25" s="123"/>
      <c r="D25" s="854"/>
      <c r="E25" s="855"/>
      <c r="H25" s="7"/>
      <c r="I25" s="7"/>
      <c r="J25" s="7"/>
      <c r="K25" s="6"/>
    </row>
    <row r="26" spans="1:11" ht="14.25">
      <c r="A26" s="853"/>
      <c r="B26" s="123"/>
      <c r="C26" s="123"/>
      <c r="D26" s="854"/>
      <c r="E26" s="855"/>
      <c r="H26" s="7"/>
      <c r="I26" s="7"/>
      <c r="J26" s="7"/>
      <c r="K26" s="6"/>
    </row>
    <row r="27" spans="1:11" ht="14.25">
      <c r="A27" s="853"/>
      <c r="B27" s="123"/>
      <c r="C27" s="123"/>
      <c r="D27" s="854"/>
      <c r="E27" s="855"/>
      <c r="H27" s="7"/>
      <c r="I27" s="7"/>
      <c r="J27" s="7"/>
      <c r="K27" s="6"/>
    </row>
    <row r="28" spans="1:11" ht="14.25">
      <c r="A28" s="853"/>
      <c r="B28" s="123"/>
      <c r="C28" s="123"/>
      <c r="D28" s="854"/>
      <c r="E28" s="855"/>
      <c r="H28" s="7"/>
      <c r="I28" s="7"/>
      <c r="J28" s="7"/>
      <c r="K28" s="6"/>
    </row>
    <row r="29" spans="1:11" ht="14.25">
      <c r="A29" s="853"/>
      <c r="B29" s="123"/>
      <c r="C29" s="123"/>
      <c r="D29" s="854"/>
      <c r="E29" s="855"/>
      <c r="H29" s="7"/>
      <c r="I29" s="7"/>
      <c r="J29" s="7"/>
      <c r="K29" s="6"/>
    </row>
    <row r="30" spans="1:11" ht="14.25">
      <c r="A30" s="853"/>
      <c r="B30" s="123"/>
      <c r="C30" s="123"/>
      <c r="D30" s="857"/>
      <c r="E30" s="858"/>
      <c r="F30" s="7"/>
      <c r="G30" s="7"/>
      <c r="H30" s="7"/>
      <c r="I30" s="7"/>
      <c r="K30" s="6"/>
    </row>
    <row r="31" spans="1:11" ht="14.25">
      <c r="A31" s="853"/>
      <c r="B31" s="123"/>
      <c r="C31" s="123"/>
      <c r="D31" s="857"/>
      <c r="E31" s="858"/>
      <c r="F31" s="7"/>
      <c r="G31" s="7"/>
      <c r="H31" s="7"/>
      <c r="I31" s="7"/>
    </row>
    <row r="32" spans="1:11" ht="14.25">
      <c r="A32" s="853"/>
      <c r="B32" s="123"/>
      <c r="C32" s="123"/>
      <c r="D32" s="857"/>
      <c r="E32" s="858"/>
      <c r="F32" s="7"/>
      <c r="G32" s="7"/>
      <c r="H32" s="7"/>
      <c r="I32" s="7"/>
    </row>
    <row r="33" spans="1:13" ht="14.25">
      <c r="A33" s="853"/>
      <c r="B33" s="123"/>
      <c r="C33" s="123"/>
      <c r="D33" s="857"/>
      <c r="E33" s="858"/>
      <c r="F33" s="7"/>
      <c r="G33" s="7"/>
      <c r="H33" s="7"/>
      <c r="I33" s="7"/>
    </row>
    <row r="34" spans="1:13" ht="14.25">
      <c r="A34" s="853"/>
      <c r="B34" s="123"/>
      <c r="C34" s="123"/>
      <c r="D34" s="857"/>
      <c r="E34" s="855"/>
      <c r="F34" s="7"/>
      <c r="G34" s="7"/>
      <c r="H34" s="7"/>
      <c r="J34" s="8"/>
      <c r="K34" s="6"/>
      <c r="M34" s="9"/>
    </row>
    <row r="35" spans="1:13" ht="14.25">
      <c r="A35" s="853"/>
      <c r="B35" s="123"/>
      <c r="C35" s="123"/>
      <c r="D35" s="857"/>
      <c r="E35" s="858"/>
      <c r="F35" s="7"/>
      <c r="G35" s="7"/>
      <c r="K35" s="6"/>
    </row>
    <row r="36" spans="1:13" ht="14.25">
      <c r="A36" s="853"/>
      <c r="B36" s="123"/>
      <c r="C36" s="123"/>
      <c r="D36" s="857"/>
      <c r="E36" s="858"/>
      <c r="F36" s="7"/>
      <c r="G36" s="7"/>
    </row>
    <row r="37" spans="1:13" ht="14.25">
      <c r="A37" s="853"/>
      <c r="B37" s="123"/>
      <c r="C37" s="123"/>
      <c r="D37" s="857"/>
      <c r="E37" s="858"/>
      <c r="F37" s="7"/>
      <c r="G37" s="7"/>
    </row>
    <row r="38" spans="1:13" ht="14.25">
      <c r="A38" s="853"/>
      <c r="B38" s="123"/>
      <c r="C38" s="123"/>
      <c r="D38" s="857"/>
      <c r="E38" s="858"/>
      <c r="F38" s="7"/>
      <c r="G38" s="7"/>
    </row>
    <row r="39" spans="1:13" ht="14.25">
      <c r="A39" s="853"/>
      <c r="B39" s="123"/>
      <c r="C39" s="123"/>
      <c r="D39" s="857"/>
      <c r="E39" s="858"/>
      <c r="F39" s="7"/>
      <c r="G39" s="7"/>
    </row>
    <row r="40" spans="1:13" ht="14.25">
      <c r="A40" s="853"/>
      <c r="B40" s="123"/>
      <c r="C40" s="123"/>
      <c r="D40" s="857"/>
      <c r="E40" s="858"/>
      <c r="F40" s="7"/>
      <c r="G40" s="7"/>
    </row>
    <row r="41" spans="1:13" ht="14.25">
      <c r="A41" s="853"/>
      <c r="B41" s="123"/>
      <c r="C41" s="123"/>
      <c r="D41" s="857"/>
      <c r="E41" s="858"/>
      <c r="F41" s="7"/>
      <c r="G41" s="7"/>
    </row>
    <row r="42" spans="1:13" ht="14.25">
      <c r="A42" s="853"/>
      <c r="B42" s="123"/>
      <c r="C42" s="123"/>
      <c r="D42" s="854"/>
      <c r="E42" s="855"/>
    </row>
    <row r="43" spans="1:13" ht="14.25">
      <c r="A43" s="853"/>
      <c r="B43" s="123"/>
      <c r="C43" s="123"/>
      <c r="D43" s="854"/>
      <c r="E43" s="855"/>
    </row>
    <row r="44" spans="1:13" ht="14.25">
      <c r="A44" s="853"/>
      <c r="B44" s="123"/>
      <c r="C44" s="123"/>
      <c r="D44" s="854"/>
      <c r="E44" s="855"/>
    </row>
    <row r="45" spans="1:13" ht="14.25">
      <c r="A45" s="853"/>
      <c r="B45" s="123"/>
      <c r="C45" s="123"/>
      <c r="D45" s="854"/>
      <c r="E45" s="855"/>
    </row>
    <row r="46" spans="1:13" ht="14.25">
      <c r="A46" s="853"/>
      <c r="B46" s="123"/>
      <c r="C46" s="123"/>
      <c r="D46" s="854"/>
      <c r="E46" s="855"/>
    </row>
    <row r="47" spans="1:13" ht="14.25">
      <c r="A47" s="853"/>
      <c r="B47" s="123"/>
      <c r="C47" s="123"/>
      <c r="D47" s="854"/>
      <c r="E47" s="855"/>
    </row>
    <row r="48" spans="1:13" ht="14.25">
      <c r="A48" s="853"/>
      <c r="B48" s="123"/>
      <c r="C48" s="123"/>
      <c r="D48" s="854"/>
      <c r="E48" s="855"/>
    </row>
    <row r="49" spans="1:5">
      <c r="A49" s="859"/>
      <c r="B49" s="860"/>
      <c r="C49" s="854"/>
      <c r="D49" s="854"/>
      <c r="E49" s="855"/>
    </row>
    <row r="50" spans="1:5">
      <c r="A50" s="859"/>
      <c r="B50" s="860"/>
      <c r="C50" s="854"/>
      <c r="D50" s="854"/>
      <c r="E50" s="855"/>
    </row>
    <row r="51" spans="1:5">
      <c r="A51" s="859"/>
      <c r="B51" s="860"/>
      <c r="C51" s="854"/>
      <c r="D51" s="854"/>
      <c r="E51" s="855"/>
    </row>
    <row r="52" spans="1:5">
      <c r="A52" s="859"/>
      <c r="B52" s="860"/>
      <c r="C52" s="854"/>
      <c r="D52" s="854"/>
      <c r="E52" s="855"/>
    </row>
    <row r="53" spans="1:5">
      <c r="A53" s="859"/>
      <c r="B53" s="860"/>
      <c r="C53" s="854"/>
      <c r="D53" s="854"/>
      <c r="E53" s="855"/>
    </row>
    <row r="54" spans="1:5">
      <c r="A54" s="859"/>
      <c r="B54" s="860"/>
      <c r="C54" s="854"/>
      <c r="D54" s="854"/>
      <c r="E54" s="855"/>
    </row>
    <row r="55" spans="1:5">
      <c r="A55" s="859"/>
      <c r="B55" s="860"/>
      <c r="C55" s="854"/>
      <c r="D55" s="854"/>
      <c r="E55" s="855"/>
    </row>
    <row r="56" spans="1:5">
      <c r="A56" s="859"/>
      <c r="B56" s="860"/>
      <c r="C56" s="854"/>
      <c r="D56" s="854"/>
      <c r="E56" s="855"/>
    </row>
    <row r="57" spans="1:5">
      <c r="A57" s="859"/>
      <c r="B57" s="860"/>
      <c r="C57" s="854"/>
      <c r="D57" s="854"/>
      <c r="E57" s="855"/>
    </row>
    <row r="58" spans="1:5">
      <c r="A58" s="859"/>
      <c r="B58" s="860"/>
      <c r="C58" s="854"/>
      <c r="D58" s="854"/>
      <c r="E58" s="855"/>
    </row>
    <row r="59" spans="1:5">
      <c r="A59" s="859"/>
      <c r="B59" s="860"/>
      <c r="C59" s="854"/>
      <c r="D59" s="854"/>
      <c r="E59" s="855"/>
    </row>
    <row r="60" spans="1:5">
      <c r="A60" s="859"/>
      <c r="B60" s="860"/>
      <c r="C60" s="854"/>
      <c r="D60" s="854"/>
      <c r="E60" s="855"/>
    </row>
    <row r="61" spans="1:5">
      <c r="A61" s="859"/>
      <c r="B61" s="860"/>
      <c r="C61" s="854"/>
      <c r="D61" s="854"/>
      <c r="E61" s="855"/>
    </row>
    <row r="62" spans="1:5">
      <c r="A62" s="859"/>
      <c r="B62" s="860"/>
      <c r="C62" s="854"/>
      <c r="D62" s="854"/>
      <c r="E62" s="855"/>
    </row>
    <row r="63" spans="1:5">
      <c r="A63" s="859"/>
      <c r="B63" s="860"/>
      <c r="C63" s="854"/>
      <c r="D63" s="854"/>
      <c r="E63" s="855"/>
    </row>
    <row r="64" spans="1:5">
      <c r="A64" s="859"/>
      <c r="B64" s="860"/>
      <c r="C64" s="854"/>
      <c r="D64" s="854"/>
      <c r="E64" s="855"/>
    </row>
    <row r="65" spans="1:5">
      <c r="A65" s="859"/>
      <c r="B65" s="860"/>
      <c r="C65" s="854"/>
      <c r="D65" s="854"/>
      <c r="E65" s="855"/>
    </row>
    <row r="66" spans="1:5">
      <c r="A66" s="859"/>
      <c r="B66" s="860"/>
      <c r="C66" s="854"/>
      <c r="D66" s="854"/>
      <c r="E66" s="855"/>
    </row>
    <row r="67" spans="1:5">
      <c r="A67" s="859"/>
      <c r="B67" s="860"/>
      <c r="C67" s="854"/>
      <c r="D67" s="854"/>
      <c r="E67" s="855"/>
    </row>
    <row r="68" spans="1:5">
      <c r="A68" s="859"/>
      <c r="B68" s="860"/>
      <c r="C68" s="854"/>
      <c r="D68" s="854"/>
      <c r="E68" s="855"/>
    </row>
    <row r="69" spans="1:5">
      <c r="A69" s="859"/>
      <c r="B69" s="860"/>
      <c r="C69" s="854"/>
      <c r="D69" s="854"/>
      <c r="E69" s="855"/>
    </row>
    <row r="70" spans="1:5">
      <c r="A70" s="859"/>
      <c r="B70" s="860"/>
      <c r="C70" s="854"/>
      <c r="D70" s="854"/>
      <c r="E70" s="855"/>
    </row>
    <row r="71" spans="1:5">
      <c r="A71" s="859"/>
      <c r="B71" s="860"/>
      <c r="C71" s="854"/>
      <c r="D71" s="854"/>
      <c r="E71" s="855"/>
    </row>
    <row r="72" spans="1:5">
      <c r="A72" s="859"/>
      <c r="B72" s="860"/>
      <c r="C72" s="854"/>
      <c r="D72" s="854"/>
      <c r="E72" s="855"/>
    </row>
    <row r="73" spans="1:5">
      <c r="A73" s="859"/>
      <c r="B73" s="860"/>
      <c r="C73" s="854"/>
      <c r="D73" s="854"/>
      <c r="E73" s="855"/>
    </row>
    <row r="74" spans="1:5">
      <c r="A74" s="859"/>
      <c r="B74" s="860"/>
      <c r="C74" s="854"/>
      <c r="D74" s="854"/>
      <c r="E74" s="855"/>
    </row>
    <row r="75" spans="1:5">
      <c r="A75" s="859"/>
      <c r="B75" s="860"/>
      <c r="C75" s="854"/>
      <c r="D75" s="854"/>
      <c r="E75" s="855"/>
    </row>
    <row r="76" spans="1:5">
      <c r="A76" s="859"/>
      <c r="B76" s="860"/>
      <c r="C76" s="854"/>
      <c r="D76" s="854"/>
      <c r="E76" s="855"/>
    </row>
    <row r="77" spans="1:5">
      <c r="A77" s="859"/>
      <c r="B77" s="860"/>
      <c r="C77" s="854"/>
      <c r="D77" s="854"/>
      <c r="E77" s="855"/>
    </row>
    <row r="78" spans="1:5">
      <c r="A78" s="859"/>
      <c r="B78" s="860"/>
      <c r="C78" s="854"/>
      <c r="D78" s="854"/>
      <c r="E78" s="855"/>
    </row>
    <row r="79" spans="1:5">
      <c r="A79" s="859"/>
      <c r="B79" s="860"/>
      <c r="C79" s="854"/>
      <c r="D79" s="854"/>
      <c r="E79" s="855"/>
    </row>
    <row r="80" spans="1:5">
      <c r="A80" s="859"/>
      <c r="B80" s="860"/>
      <c r="C80" s="854"/>
      <c r="D80" s="854"/>
      <c r="E80" s="855"/>
    </row>
    <row r="81" spans="1:5">
      <c r="A81" s="859"/>
      <c r="B81" s="860"/>
      <c r="C81" s="854"/>
      <c r="D81" s="854"/>
      <c r="E81" s="855"/>
    </row>
    <row r="82" spans="1:5">
      <c r="A82" s="859"/>
      <c r="B82" s="860"/>
      <c r="C82" s="854"/>
      <c r="D82" s="854"/>
      <c r="E82" s="855"/>
    </row>
    <row r="83" spans="1:5">
      <c r="A83" s="859"/>
      <c r="B83" s="860"/>
      <c r="C83" s="854"/>
      <c r="D83" s="854"/>
      <c r="E83" s="855"/>
    </row>
    <row r="84" spans="1:5">
      <c r="A84" s="859"/>
      <c r="B84" s="860"/>
      <c r="C84" s="854"/>
      <c r="D84" s="854"/>
      <c r="E84" s="855"/>
    </row>
    <row r="85" spans="1:5">
      <c r="A85" s="859"/>
      <c r="B85" s="860"/>
      <c r="C85" s="854"/>
      <c r="D85" s="854"/>
      <c r="E85" s="855"/>
    </row>
    <row r="86" spans="1:5">
      <c r="A86" s="859"/>
      <c r="B86" s="860"/>
      <c r="C86" s="854"/>
      <c r="D86" s="854"/>
      <c r="E86" s="855"/>
    </row>
    <row r="87" spans="1:5">
      <c r="A87" s="859"/>
      <c r="B87" s="860"/>
      <c r="C87" s="854"/>
      <c r="D87" s="854"/>
      <c r="E87" s="855"/>
    </row>
    <row r="88" spans="1:5" ht="13.5" thickBot="1">
      <c r="A88" s="861"/>
      <c r="B88" s="862"/>
      <c r="C88" s="863"/>
      <c r="D88" s="863"/>
      <c r="E88" s="864"/>
    </row>
  </sheetData>
  <protectedRanges>
    <protectedRange sqref="A13:A17" name="Intervalo1"/>
  </protectedRanges>
  <mergeCells count="5">
    <mergeCell ref="A3:E3"/>
    <mergeCell ref="D12:E13"/>
    <mergeCell ref="D11:E11"/>
    <mergeCell ref="A1:E1"/>
    <mergeCell ref="A2:E2"/>
  </mergeCells>
  <conditionalFormatting sqref="F1:XFD2 A13:C13 A11:D12 F11:XFD13 A14:XFD1048576 A3:XFD10">
    <cfRule type="expression" dxfId="53" priority="3">
      <formula>CELL("proteger",A1)=1</formula>
    </cfRule>
  </conditionalFormatting>
  <conditionalFormatting sqref="A1">
    <cfRule type="expression" dxfId="52" priority="1">
      <formula>CELL("proteger",A1)=1</formula>
    </cfRule>
  </conditionalFormatting>
  <printOptions horizontalCentered="1"/>
  <pageMargins left="0.70866141732283472" right="0.70866141732283472" top="0.74803149606299213" bottom="0.74803149606299213" header="0.31496062992125984" footer="0.31496062992125984"/>
  <pageSetup paperSize="9" scale="58" orientation="portrait" r:id="rId1"/>
  <headerFooter scaleWithDoc="0"/>
  <drawing r:id="rId2"/>
  <legacyDrawing r:id="rId3"/>
  <legacyDrawingHF r:id="rId4"/>
  <oleObjects>
    <mc:AlternateContent xmlns:mc="http://schemas.openxmlformats.org/markup-compatibility/2006">
      <mc:Choice Requires="x14">
        <oleObject progId="CorelDraw.Graphic.18" shapeId="1026" r:id="rId5">
          <objectPr defaultSize="0" autoPict="0" r:id="rId6">
            <anchor moveWithCells="1">
              <from>
                <xdr:col>0</xdr:col>
                <xdr:colOff>1343025</xdr:colOff>
                <xdr:row>0</xdr:row>
                <xdr:rowOff>76200</xdr:rowOff>
              </from>
              <to>
                <xdr:col>0</xdr:col>
                <xdr:colOff>2057400</xdr:colOff>
                <xdr:row>0</xdr:row>
                <xdr:rowOff>609600</xdr:rowOff>
              </to>
            </anchor>
          </objectPr>
        </oleObject>
      </mc:Choice>
      <mc:Fallback>
        <oleObject progId="CorelDraw.Graphic.18" shapeId="1026" r:id="rId5"/>
      </mc:Fallback>
    </mc:AlternateContent>
  </oleObjects>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BFF30C-01DB-41CD-A65C-4E0364CD4CB4}">
  <sheetPr>
    <tabColor theme="0" tint="-0.14999847407452621"/>
    <pageSetUpPr fitToPage="1"/>
  </sheetPr>
  <dimension ref="A1:M139"/>
  <sheetViews>
    <sheetView view="pageBreakPreview" topLeftCell="A61" zoomScaleNormal="100" zoomScaleSheetLayoutView="100" workbookViewId="0">
      <selection activeCell="K94" sqref="K94"/>
    </sheetView>
  </sheetViews>
  <sheetFormatPr defaultColWidth="9.125" defaultRowHeight="13.5" customHeight="1"/>
  <cols>
    <col min="1" max="1" width="37.25" style="64" bestFit="1" customWidth="1"/>
    <col min="2" max="2" width="11.125" style="64" bestFit="1" customWidth="1"/>
    <col min="3" max="3" width="12.25" style="64" customWidth="1"/>
    <col min="4" max="4" width="4.125" style="64" customWidth="1"/>
    <col min="5" max="5" width="17.75" style="64" bestFit="1" customWidth="1"/>
    <col min="6" max="6" width="4.625" style="64" bestFit="1" customWidth="1"/>
    <col min="7" max="7" width="21" style="64" bestFit="1" customWidth="1"/>
    <col min="8" max="10" width="9.125" style="5"/>
    <col min="11" max="11" width="12.125" style="5" bestFit="1" customWidth="1"/>
    <col min="12" max="12" width="14" style="5" bestFit="1" customWidth="1"/>
    <col min="13" max="16384" width="9.125" style="5"/>
  </cols>
  <sheetData>
    <row r="1" spans="1:12" ht="57" customHeight="1" thickBot="1">
      <c r="A1" s="1352" t="s">
        <v>20</v>
      </c>
      <c r="B1" s="1353"/>
      <c r="C1" s="1353"/>
      <c r="D1" s="1353"/>
      <c r="E1" s="1353"/>
      <c r="F1" s="1353"/>
      <c r="G1" s="1354"/>
    </row>
    <row r="2" spans="1:12" ht="5.25" customHeight="1">
      <c r="A2" s="889"/>
      <c r="B2" s="890"/>
      <c r="C2" s="891"/>
      <c r="D2" s="890"/>
      <c r="E2" s="891"/>
      <c r="F2" s="890"/>
      <c r="G2" s="892"/>
      <c r="H2" s="10"/>
      <c r="I2" s="11"/>
    </row>
    <row r="3" spans="1:12" ht="15.75">
      <c r="A3" s="1355" t="s">
        <v>286</v>
      </c>
      <c r="B3" s="1356"/>
      <c r="C3" s="1356"/>
      <c r="D3" s="1356"/>
      <c r="E3" s="1356"/>
      <c r="F3" s="1356"/>
      <c r="G3" s="1357"/>
    </row>
    <row r="4" spans="1:12" ht="12.6" customHeight="1">
      <c r="A4" s="893" t="s">
        <v>21</v>
      </c>
      <c r="B4" s="894"/>
      <c r="C4" s="895">
        <v>1</v>
      </c>
      <c r="D4" s="894" t="s">
        <v>22</v>
      </c>
      <c r="E4" s="896">
        <v>1919.26</v>
      </c>
      <c r="F4" s="894" t="s">
        <v>23</v>
      </c>
      <c r="G4" s="897">
        <f t="shared" ref="G4:G9" si="0">ROUND(C4*E4,2)</f>
        <v>1919.26</v>
      </c>
      <c r="H4" s="10"/>
    </row>
    <row r="5" spans="1:12" ht="12.6" customHeight="1">
      <c r="A5" s="893" t="s">
        <v>24</v>
      </c>
      <c r="B5" s="894"/>
      <c r="C5" s="898">
        <v>0.4</v>
      </c>
      <c r="D5" s="894" t="s">
        <v>22</v>
      </c>
      <c r="E5" s="899">
        <v>1621</v>
      </c>
      <c r="F5" s="894" t="s">
        <v>23</v>
      </c>
      <c r="G5" s="897">
        <f t="shared" si="0"/>
        <v>648.4</v>
      </c>
      <c r="H5" s="12"/>
    </row>
    <row r="6" spans="1:12" ht="12.6" customHeight="1">
      <c r="A6" s="893" t="s">
        <v>25</v>
      </c>
      <c r="B6" s="894"/>
      <c r="C6" s="900">
        <v>0</v>
      </c>
      <c r="D6" s="894" t="s">
        <v>22</v>
      </c>
      <c r="E6" s="899">
        <f>ROUND((SUM(G4:G5)/220)*1.5,2)</f>
        <v>17.510000000000002</v>
      </c>
      <c r="F6" s="894" t="s">
        <v>23</v>
      </c>
      <c r="G6" s="897">
        <f t="shared" si="0"/>
        <v>0</v>
      </c>
      <c r="H6" s="11"/>
    </row>
    <row r="7" spans="1:12" ht="12.6" customHeight="1">
      <c r="A7" s="893" t="s">
        <v>26</v>
      </c>
      <c r="B7" s="894"/>
      <c r="C7" s="900">
        <v>0</v>
      </c>
      <c r="D7" s="894" t="s">
        <v>22</v>
      </c>
      <c r="E7" s="899">
        <f>ROUND((SUM(G4:G5)/220)*2,2)</f>
        <v>23.34</v>
      </c>
      <c r="F7" s="894" t="s">
        <v>23</v>
      </c>
      <c r="G7" s="897">
        <f t="shared" si="0"/>
        <v>0</v>
      </c>
      <c r="H7" s="12"/>
    </row>
    <row r="8" spans="1:12" ht="12.6" customHeight="1">
      <c r="A8" s="893" t="s">
        <v>27</v>
      </c>
      <c r="B8" s="894"/>
      <c r="C8" s="900">
        <v>0</v>
      </c>
      <c r="D8" s="894" t="s">
        <v>22</v>
      </c>
      <c r="E8" s="899">
        <f>(SUM(G4:G5)/220)*0.2</f>
        <v>2.3342363636363639</v>
      </c>
      <c r="F8" s="894" t="s">
        <v>23</v>
      </c>
      <c r="G8" s="897">
        <f t="shared" si="0"/>
        <v>0</v>
      </c>
      <c r="H8" s="12"/>
      <c r="L8" s="3"/>
    </row>
    <row r="9" spans="1:12" ht="12.6" customHeight="1">
      <c r="A9" s="893" t="s">
        <v>28</v>
      </c>
      <c r="B9" s="894"/>
      <c r="C9" s="901">
        <f>encargos</f>
        <v>0.73929999999999996</v>
      </c>
      <c r="D9" s="894" t="s">
        <v>22</v>
      </c>
      <c r="E9" s="902">
        <f>SUM(G4:G8)</f>
        <v>2567.66</v>
      </c>
      <c r="F9" s="894" t="s">
        <v>23</v>
      </c>
      <c r="G9" s="897">
        <f t="shared" si="0"/>
        <v>1898.27</v>
      </c>
      <c r="H9" s="12"/>
    </row>
    <row r="10" spans="1:12" ht="12.6" customHeight="1">
      <c r="A10" s="889" t="s">
        <v>29</v>
      </c>
      <c r="B10" s="894"/>
      <c r="C10" s="901"/>
      <c r="D10" s="894"/>
      <c r="E10" s="902"/>
      <c r="F10" s="894"/>
      <c r="G10" s="903">
        <f>SUM(G4:G9)</f>
        <v>4465.93</v>
      </c>
      <c r="H10" s="12"/>
    </row>
    <row r="11" spans="1:12" ht="12.6" customHeight="1">
      <c r="A11" s="893" t="s">
        <v>30</v>
      </c>
      <c r="B11" s="894"/>
      <c r="C11" s="904">
        <f>dias_mes</f>
        <v>25.25</v>
      </c>
      <c r="D11" s="894" t="s">
        <v>22</v>
      </c>
      <c r="E11" s="905">
        <v>21.71</v>
      </c>
      <c r="F11" s="894" t="s">
        <v>23</v>
      </c>
      <c r="G11" s="897">
        <f t="shared" ref="G11:G18" si="1">ROUND(C11*E11,2)</f>
        <v>548.17999999999995</v>
      </c>
      <c r="H11" s="12"/>
    </row>
    <row r="12" spans="1:12" ht="12.6" customHeight="1">
      <c r="A12" s="906" t="s">
        <v>31</v>
      </c>
      <c r="B12" s="907"/>
      <c r="C12" s="895">
        <v>1</v>
      </c>
      <c r="D12" s="894" t="s">
        <v>22</v>
      </c>
      <c r="E12" s="905">
        <v>283.31</v>
      </c>
      <c r="F12" s="894" t="s">
        <v>23</v>
      </c>
      <c r="G12" s="897">
        <f>E12*C12</f>
        <v>283.31</v>
      </c>
      <c r="H12" s="13"/>
    </row>
    <row r="13" spans="1:12" ht="15.75">
      <c r="A13" s="893" t="s">
        <v>107</v>
      </c>
      <c r="B13" s="894"/>
      <c r="C13" s="908">
        <f>1/12</f>
        <v>8.3333333333333329E-2</v>
      </c>
      <c r="D13" s="894" t="s">
        <v>22</v>
      </c>
      <c r="E13" s="905">
        <v>283.31</v>
      </c>
      <c r="F13" s="894" t="s">
        <v>23</v>
      </c>
      <c r="G13" s="897">
        <f>ROUND(C13*E13,2)</f>
        <v>23.61</v>
      </c>
      <c r="H13" s="12"/>
    </row>
    <row r="14" spans="1:12" ht="12.6" customHeight="1">
      <c r="A14" s="906" t="s">
        <v>33</v>
      </c>
      <c r="B14" s="907"/>
      <c r="C14" s="908">
        <f>1/12</f>
        <v>8.3333333333333329E-2</v>
      </c>
      <c r="D14" s="894" t="s">
        <v>22</v>
      </c>
      <c r="E14" s="905">
        <v>283.31</v>
      </c>
      <c r="F14" s="894" t="s">
        <v>23</v>
      </c>
      <c r="G14" s="897">
        <f>ROUND(C14*E14,2)</f>
        <v>23.61</v>
      </c>
      <c r="H14" s="13"/>
    </row>
    <row r="15" spans="1:12" ht="12.6" customHeight="1">
      <c r="A15" s="893" t="s">
        <v>34</v>
      </c>
      <c r="B15" s="894"/>
      <c r="C15" s="909">
        <v>1</v>
      </c>
      <c r="D15" s="894" t="s">
        <v>22</v>
      </c>
      <c r="E15" s="905">
        <v>0</v>
      </c>
      <c r="F15" s="894" t="s">
        <v>23</v>
      </c>
      <c r="G15" s="897">
        <f t="shared" si="1"/>
        <v>0</v>
      </c>
      <c r="H15" s="13"/>
    </row>
    <row r="16" spans="1:12" ht="12.6" customHeight="1">
      <c r="A16" s="893" t="s">
        <v>35</v>
      </c>
      <c r="B16" s="894"/>
      <c r="C16" s="909">
        <v>1</v>
      </c>
      <c r="D16" s="894" t="s">
        <v>22</v>
      </c>
      <c r="E16" s="905">
        <v>100</v>
      </c>
      <c r="F16" s="894" t="s">
        <v>23</v>
      </c>
      <c r="G16" s="897">
        <f t="shared" si="1"/>
        <v>100</v>
      </c>
      <c r="H16" s="12"/>
    </row>
    <row r="17" spans="1:8" ht="12.6" customHeight="1">
      <c r="A17" s="893" t="s">
        <v>36</v>
      </c>
      <c r="B17" s="894"/>
      <c r="C17" s="909">
        <v>1</v>
      </c>
      <c r="D17" s="894" t="s">
        <v>22</v>
      </c>
      <c r="E17" s="905">
        <v>25</v>
      </c>
      <c r="F17" s="894" t="s">
        <v>23</v>
      </c>
      <c r="G17" s="897">
        <f t="shared" si="1"/>
        <v>25</v>
      </c>
      <c r="H17" s="12"/>
    </row>
    <row r="18" spans="1:8" ht="12.6" customHeight="1">
      <c r="A18" s="893" t="s">
        <v>37</v>
      </c>
      <c r="B18" s="894"/>
      <c r="C18" s="909">
        <v>1</v>
      </c>
      <c r="D18" s="894" t="s">
        <v>22</v>
      </c>
      <c r="E18" s="905">
        <v>5</v>
      </c>
      <c r="F18" s="894" t="s">
        <v>23</v>
      </c>
      <c r="G18" s="897">
        <f t="shared" si="1"/>
        <v>5</v>
      </c>
      <c r="H18" s="12"/>
    </row>
    <row r="19" spans="1:8" ht="12.6" customHeight="1">
      <c r="A19" s="906" t="s">
        <v>38</v>
      </c>
      <c r="B19" s="907"/>
      <c r="C19" s="910">
        <f>2*dias_mes</f>
        <v>50.5</v>
      </c>
      <c r="D19" s="894" t="s">
        <v>22</v>
      </c>
      <c r="E19" s="905">
        <v>3</v>
      </c>
      <c r="F19" s="894" t="s">
        <v>23</v>
      </c>
      <c r="G19" s="897">
        <f>IF(E4*0.06&lt;C19*E19,ROUND(C19*E19,2)-0.06*E4,0)</f>
        <v>36.344400000000007</v>
      </c>
      <c r="H19" s="11"/>
    </row>
    <row r="20" spans="1:8" ht="12.6" customHeight="1">
      <c r="A20" s="911" t="s">
        <v>39</v>
      </c>
      <c r="B20" s="128"/>
      <c r="C20" s="129">
        <f>C4</f>
        <v>1</v>
      </c>
      <c r="D20" s="128" t="s">
        <v>22</v>
      </c>
      <c r="E20" s="130">
        <f>EPI!G26</f>
        <v>130.91999999999999</v>
      </c>
      <c r="F20" s="128" t="s">
        <v>23</v>
      </c>
      <c r="G20" s="912">
        <f>ROUND(C20*E20,2)</f>
        <v>130.91999999999999</v>
      </c>
      <c r="H20" s="12"/>
    </row>
    <row r="21" spans="1:8" ht="12.6" customHeight="1">
      <c r="A21" s="913" t="s">
        <v>40</v>
      </c>
      <c r="B21" s="131"/>
      <c r="C21" s="132"/>
      <c r="D21" s="131"/>
      <c r="E21" s="132"/>
      <c r="F21" s="131"/>
      <c r="G21" s="914">
        <f>SUM(G10:G20)</f>
        <v>5641.9044000000004</v>
      </c>
      <c r="H21" s="10"/>
    </row>
    <row r="22" spans="1:8" ht="6" customHeight="1">
      <c r="A22" s="915"/>
      <c r="B22" s="916"/>
      <c r="C22" s="916"/>
      <c r="D22" s="916"/>
      <c r="E22" s="916"/>
      <c r="F22" s="916"/>
      <c r="G22" s="917"/>
    </row>
    <row r="23" spans="1:8" ht="15.75">
      <c r="A23" s="1355" t="s">
        <v>285</v>
      </c>
      <c r="B23" s="1356"/>
      <c r="C23" s="1356"/>
      <c r="D23" s="1356"/>
      <c r="E23" s="1356"/>
      <c r="F23" s="1356"/>
      <c r="G23" s="1357"/>
    </row>
    <row r="24" spans="1:8" ht="12.6" customHeight="1">
      <c r="A24" s="893" t="s">
        <v>21</v>
      </c>
      <c r="B24" s="894"/>
      <c r="C24" s="895">
        <v>1</v>
      </c>
      <c r="D24" s="894" t="s">
        <v>22</v>
      </c>
      <c r="E24" s="896">
        <v>1919.26</v>
      </c>
      <c r="F24" s="894" t="s">
        <v>23</v>
      </c>
      <c r="G24" s="897">
        <f t="shared" ref="G24:G29" si="2">ROUND(C24*E24,2)</f>
        <v>1919.26</v>
      </c>
      <c r="H24" s="10"/>
    </row>
    <row r="25" spans="1:8" ht="12.6" customHeight="1">
      <c r="A25" s="893" t="s">
        <v>24</v>
      </c>
      <c r="B25" s="894"/>
      <c r="C25" s="898">
        <v>0.4</v>
      </c>
      <c r="D25" s="894" t="s">
        <v>22</v>
      </c>
      <c r="E25" s="899">
        <v>1621</v>
      </c>
      <c r="F25" s="894" t="s">
        <v>23</v>
      </c>
      <c r="G25" s="897">
        <f t="shared" si="2"/>
        <v>648.4</v>
      </c>
      <c r="H25" s="12"/>
    </row>
    <row r="26" spans="1:8" ht="12.6" customHeight="1">
      <c r="A26" s="893" t="s">
        <v>25</v>
      </c>
      <c r="B26" s="894"/>
      <c r="C26" s="900">
        <v>0</v>
      </c>
      <c r="D26" s="894" t="s">
        <v>22</v>
      </c>
      <c r="E26" s="899">
        <f>ROUND((SUM(G24:G25)/220)*1.5,2)</f>
        <v>17.510000000000002</v>
      </c>
      <c r="F26" s="894" t="s">
        <v>23</v>
      </c>
      <c r="G26" s="897">
        <f t="shared" si="2"/>
        <v>0</v>
      </c>
      <c r="H26" s="11"/>
    </row>
    <row r="27" spans="1:8" ht="12.6" customHeight="1">
      <c r="A27" s="893" t="s">
        <v>26</v>
      </c>
      <c r="B27" s="894"/>
      <c r="C27" s="900">
        <v>0</v>
      </c>
      <c r="D27" s="894" t="s">
        <v>22</v>
      </c>
      <c r="E27" s="899">
        <f>ROUND((SUM(G24:G25)/220)*2,2)</f>
        <v>23.34</v>
      </c>
      <c r="F27" s="894" t="s">
        <v>23</v>
      </c>
      <c r="G27" s="897">
        <f t="shared" si="2"/>
        <v>0</v>
      </c>
      <c r="H27" s="12"/>
    </row>
    <row r="28" spans="1:8" ht="12.6" customHeight="1">
      <c r="A28" s="893" t="s">
        <v>27</v>
      </c>
      <c r="B28" s="894"/>
      <c r="C28" s="918">
        <f>dias_mes*3.3333</f>
        <v>84.165824999999998</v>
      </c>
      <c r="D28" s="894" t="s">
        <v>22</v>
      </c>
      <c r="E28" s="899">
        <f>(SUM(G24:G25)/220)*0.2</f>
        <v>2.3342363636363639</v>
      </c>
      <c r="F28" s="894" t="s">
        <v>23</v>
      </c>
      <c r="G28" s="897">
        <f t="shared" si="2"/>
        <v>196.46</v>
      </c>
      <c r="H28" s="12"/>
    </row>
    <row r="29" spans="1:8" ht="12.6" customHeight="1">
      <c r="A29" s="893" t="s">
        <v>28</v>
      </c>
      <c r="B29" s="894"/>
      <c r="C29" s="901">
        <f>encargos</f>
        <v>0.73929999999999996</v>
      </c>
      <c r="D29" s="894" t="s">
        <v>22</v>
      </c>
      <c r="E29" s="902">
        <f>SUM(G24:G28)</f>
        <v>2764.12</v>
      </c>
      <c r="F29" s="894" t="s">
        <v>23</v>
      </c>
      <c r="G29" s="897">
        <f t="shared" si="2"/>
        <v>2043.51</v>
      </c>
      <c r="H29" s="12"/>
    </row>
    <row r="30" spans="1:8" ht="12.6" customHeight="1">
      <c r="A30" s="889" t="s">
        <v>29</v>
      </c>
      <c r="B30" s="894"/>
      <c r="C30" s="901"/>
      <c r="D30" s="894"/>
      <c r="E30" s="902"/>
      <c r="F30" s="894"/>
      <c r="G30" s="903">
        <f>SUM(G24:G29)</f>
        <v>4807.63</v>
      </c>
      <c r="H30" s="12"/>
    </row>
    <row r="31" spans="1:8" ht="12.6" customHeight="1">
      <c r="A31" s="893" t="s">
        <v>30</v>
      </c>
      <c r="B31" s="894"/>
      <c r="C31" s="904">
        <f>dias_mes</f>
        <v>25.25</v>
      </c>
      <c r="D31" s="894" t="s">
        <v>22</v>
      </c>
      <c r="E31" s="905">
        <v>21.71</v>
      </c>
      <c r="F31" s="894" t="s">
        <v>23</v>
      </c>
      <c r="G31" s="897">
        <f t="shared" ref="G31:G38" si="3">ROUND(C31*E31,2)</f>
        <v>548.17999999999995</v>
      </c>
      <c r="H31" s="12"/>
    </row>
    <row r="32" spans="1:8" ht="12.6" customHeight="1">
      <c r="A32" s="906" t="s">
        <v>31</v>
      </c>
      <c r="B32" s="907"/>
      <c r="C32" s="895">
        <v>1</v>
      </c>
      <c r="D32" s="894" t="s">
        <v>22</v>
      </c>
      <c r="E32" s="905">
        <v>283.31</v>
      </c>
      <c r="F32" s="894" t="s">
        <v>23</v>
      </c>
      <c r="G32" s="897">
        <f t="shared" si="3"/>
        <v>283.31</v>
      </c>
      <c r="H32" s="13"/>
    </row>
    <row r="33" spans="1:8" ht="12.6" customHeight="1">
      <c r="A33" s="893" t="s">
        <v>107</v>
      </c>
      <c r="B33" s="894"/>
      <c r="C33" s="908">
        <f>1/12</f>
        <v>8.3333333333333329E-2</v>
      </c>
      <c r="D33" s="894" t="s">
        <v>22</v>
      </c>
      <c r="E33" s="905">
        <v>283.31</v>
      </c>
      <c r="F33" s="894" t="s">
        <v>23</v>
      </c>
      <c r="G33" s="897">
        <f t="shared" si="3"/>
        <v>23.61</v>
      </c>
      <c r="H33" s="12"/>
    </row>
    <row r="34" spans="1:8" ht="12.6" customHeight="1">
      <c r="A34" s="906" t="s">
        <v>33</v>
      </c>
      <c r="B34" s="907"/>
      <c r="C34" s="908">
        <f>1/12</f>
        <v>8.3333333333333329E-2</v>
      </c>
      <c r="D34" s="894" t="s">
        <v>22</v>
      </c>
      <c r="E34" s="905">
        <v>283.31</v>
      </c>
      <c r="F34" s="894" t="s">
        <v>23</v>
      </c>
      <c r="G34" s="897">
        <f t="shared" si="3"/>
        <v>23.61</v>
      </c>
      <c r="H34" s="13"/>
    </row>
    <row r="35" spans="1:8" ht="12.6" customHeight="1">
      <c r="A35" s="893" t="s">
        <v>34</v>
      </c>
      <c r="B35" s="894"/>
      <c r="C35" s="909">
        <v>1</v>
      </c>
      <c r="D35" s="894" t="s">
        <v>22</v>
      </c>
      <c r="E35" s="905">
        <v>0</v>
      </c>
      <c r="F35" s="894" t="s">
        <v>23</v>
      </c>
      <c r="G35" s="897">
        <f t="shared" si="3"/>
        <v>0</v>
      </c>
      <c r="H35" s="13"/>
    </row>
    <row r="36" spans="1:8" ht="12.6" customHeight="1">
      <c r="A36" s="893" t="s">
        <v>35</v>
      </c>
      <c r="B36" s="894"/>
      <c r="C36" s="909">
        <v>1</v>
      </c>
      <c r="D36" s="894" t="s">
        <v>22</v>
      </c>
      <c r="E36" s="905">
        <v>100</v>
      </c>
      <c r="F36" s="894" t="s">
        <v>23</v>
      </c>
      <c r="G36" s="897">
        <f t="shared" si="3"/>
        <v>100</v>
      </c>
      <c r="H36" s="12"/>
    </row>
    <row r="37" spans="1:8" ht="12.6" customHeight="1">
      <c r="A37" s="893" t="s">
        <v>36</v>
      </c>
      <c r="B37" s="894"/>
      <c r="C37" s="909">
        <v>1</v>
      </c>
      <c r="D37" s="894" t="s">
        <v>22</v>
      </c>
      <c r="E37" s="905">
        <v>25</v>
      </c>
      <c r="F37" s="894" t="s">
        <v>23</v>
      </c>
      <c r="G37" s="897">
        <f>ROUND(C37*E37,2)</f>
        <v>25</v>
      </c>
      <c r="H37" s="12"/>
    </row>
    <row r="38" spans="1:8" ht="12.6" customHeight="1">
      <c r="A38" s="893" t="s">
        <v>37</v>
      </c>
      <c r="B38" s="894"/>
      <c r="C38" s="909">
        <v>1</v>
      </c>
      <c r="D38" s="894" t="s">
        <v>22</v>
      </c>
      <c r="E38" s="905">
        <v>5</v>
      </c>
      <c r="F38" s="894" t="s">
        <v>23</v>
      </c>
      <c r="G38" s="897">
        <f t="shared" si="3"/>
        <v>5</v>
      </c>
      <c r="H38" s="12"/>
    </row>
    <row r="39" spans="1:8" ht="12.6" customHeight="1">
      <c r="A39" s="906" t="s">
        <v>38</v>
      </c>
      <c r="B39" s="907"/>
      <c r="C39" s="910">
        <f>2*dias_mes</f>
        <v>50.5</v>
      </c>
      <c r="D39" s="894" t="s">
        <v>22</v>
      </c>
      <c r="E39" s="905">
        <v>3</v>
      </c>
      <c r="F39" s="894" t="s">
        <v>23</v>
      </c>
      <c r="G39" s="897">
        <f>IF(E24*0.06&lt;C39*E39,ROUND(C39*E39,2)-0.06*E24,0)</f>
        <v>36.344400000000007</v>
      </c>
      <c r="H39" s="11"/>
    </row>
    <row r="40" spans="1:8" ht="12.6" customHeight="1">
      <c r="A40" s="911" t="s">
        <v>39</v>
      </c>
      <c r="B40" s="128"/>
      <c r="C40" s="129">
        <f>C24</f>
        <v>1</v>
      </c>
      <c r="D40" s="128" t="s">
        <v>22</v>
      </c>
      <c r="E40" s="130">
        <f>EPI!$G$27</f>
        <v>107.47333333333331</v>
      </c>
      <c r="F40" s="128" t="s">
        <v>23</v>
      </c>
      <c r="G40" s="912">
        <f>ROUND(C40*E40,2)</f>
        <v>107.47</v>
      </c>
      <c r="H40" s="12"/>
    </row>
    <row r="41" spans="1:8" ht="12.6" customHeight="1">
      <c r="A41" s="913" t="s">
        <v>40</v>
      </c>
      <c r="B41" s="131"/>
      <c r="C41" s="132"/>
      <c r="D41" s="131"/>
      <c r="E41" s="132"/>
      <c r="F41" s="131"/>
      <c r="G41" s="914">
        <f>SUM(G30:G40)</f>
        <v>5960.1544000000004</v>
      </c>
      <c r="H41" s="10"/>
    </row>
    <row r="42" spans="1:8" ht="6" customHeight="1">
      <c r="A42" s="915"/>
      <c r="B42" s="916"/>
      <c r="C42" s="916"/>
      <c r="D42" s="916"/>
      <c r="E42" s="916"/>
      <c r="F42" s="916"/>
      <c r="G42" s="917"/>
    </row>
    <row r="43" spans="1:8" ht="12.6" customHeight="1">
      <c r="A43" s="1349" t="s">
        <v>287</v>
      </c>
      <c r="B43" s="1350"/>
      <c r="C43" s="1350"/>
      <c r="D43" s="1350"/>
      <c r="E43" s="1350"/>
      <c r="F43" s="1350"/>
      <c r="G43" s="1351"/>
    </row>
    <row r="44" spans="1:8" ht="12.6" customHeight="1">
      <c r="A44" s="919" t="s">
        <v>21</v>
      </c>
      <c r="B44" s="133"/>
      <c r="C44" s="134">
        <v>1</v>
      </c>
      <c r="D44" s="133" t="s">
        <v>22</v>
      </c>
      <c r="E44" s="135">
        <v>2655.24</v>
      </c>
      <c r="F44" s="133" t="s">
        <v>23</v>
      </c>
      <c r="G44" s="920">
        <f t="shared" ref="G44:G49" si="4">ROUND(C44*E44,2)</f>
        <v>2655.24</v>
      </c>
    </row>
    <row r="45" spans="1:8" ht="12.6" customHeight="1">
      <c r="A45" s="893" t="s">
        <v>24</v>
      </c>
      <c r="B45" s="894"/>
      <c r="C45" s="898">
        <v>0.4</v>
      </c>
      <c r="D45" s="894" t="s">
        <v>22</v>
      </c>
      <c r="E45" s="899">
        <v>1621</v>
      </c>
      <c r="F45" s="894" t="s">
        <v>23</v>
      </c>
      <c r="G45" s="897">
        <f t="shared" si="4"/>
        <v>648.4</v>
      </c>
    </row>
    <row r="46" spans="1:8" ht="12.6" customHeight="1">
      <c r="A46" s="893" t="s">
        <v>25</v>
      </c>
      <c r="B46" s="894"/>
      <c r="C46" s="900">
        <v>0</v>
      </c>
      <c r="D46" s="894" t="s">
        <v>22</v>
      </c>
      <c r="E46" s="899">
        <f>ROUND((SUM(G44:G45)/220)*1.5,2)</f>
        <v>22.52</v>
      </c>
      <c r="F46" s="894" t="s">
        <v>23</v>
      </c>
      <c r="G46" s="897">
        <f t="shared" si="4"/>
        <v>0</v>
      </c>
    </row>
    <row r="47" spans="1:8" ht="12.6" customHeight="1">
      <c r="A47" s="893" t="s">
        <v>26</v>
      </c>
      <c r="B47" s="894"/>
      <c r="C47" s="900">
        <v>0</v>
      </c>
      <c r="D47" s="894" t="s">
        <v>22</v>
      </c>
      <c r="E47" s="899">
        <f>ROUND((SUM(G44:G45)/220)*2,2)</f>
        <v>30.03</v>
      </c>
      <c r="F47" s="894" t="s">
        <v>23</v>
      </c>
      <c r="G47" s="897">
        <f t="shared" si="4"/>
        <v>0</v>
      </c>
    </row>
    <row r="48" spans="1:8" ht="12.6" customHeight="1">
      <c r="A48" s="893" t="s">
        <v>27</v>
      </c>
      <c r="B48" s="894"/>
      <c r="C48" s="900">
        <v>0</v>
      </c>
      <c r="D48" s="894" t="s">
        <v>22</v>
      </c>
      <c r="E48" s="899">
        <f>(SUM(G44:G45)/220)*0.2</f>
        <v>3.0033090909090912</v>
      </c>
      <c r="F48" s="894" t="s">
        <v>23</v>
      </c>
      <c r="G48" s="897">
        <f t="shared" si="4"/>
        <v>0</v>
      </c>
    </row>
    <row r="49" spans="1:11" ht="12.6" customHeight="1">
      <c r="A49" s="893" t="s">
        <v>28</v>
      </c>
      <c r="B49" s="894"/>
      <c r="C49" s="901">
        <f>encargos</f>
        <v>0.73929999999999996</v>
      </c>
      <c r="D49" s="894" t="s">
        <v>22</v>
      </c>
      <c r="E49" s="902">
        <f>SUM(G44:G48)</f>
        <v>3303.64</v>
      </c>
      <c r="F49" s="894" t="s">
        <v>23</v>
      </c>
      <c r="G49" s="897">
        <f t="shared" si="4"/>
        <v>2442.38</v>
      </c>
    </row>
    <row r="50" spans="1:11" ht="12.6" customHeight="1">
      <c r="A50" s="889" t="s">
        <v>29</v>
      </c>
      <c r="B50" s="894"/>
      <c r="C50" s="901"/>
      <c r="D50" s="894"/>
      <c r="E50" s="902"/>
      <c r="F50" s="894"/>
      <c r="G50" s="903">
        <f>SUM(G44:G49)</f>
        <v>5746.02</v>
      </c>
    </row>
    <row r="51" spans="1:11" ht="12.6" customHeight="1">
      <c r="A51" s="893" t="s">
        <v>30</v>
      </c>
      <c r="B51" s="894"/>
      <c r="C51" s="904">
        <f>dias_mes</f>
        <v>25.25</v>
      </c>
      <c r="D51" s="894" t="s">
        <v>22</v>
      </c>
      <c r="E51" s="905">
        <v>21.07</v>
      </c>
      <c r="F51" s="894" t="s">
        <v>23</v>
      </c>
      <c r="G51" s="897">
        <f t="shared" ref="G51:G58" si="5">ROUND(C51*E51,2)</f>
        <v>532.02</v>
      </c>
    </row>
    <row r="52" spans="1:11" ht="12.6" customHeight="1">
      <c r="A52" s="906" t="s">
        <v>31</v>
      </c>
      <c r="B52" s="907"/>
      <c r="C52" s="895">
        <v>1</v>
      </c>
      <c r="D52" s="894" t="s">
        <v>22</v>
      </c>
      <c r="E52" s="905">
        <v>283.31</v>
      </c>
      <c r="F52" s="894" t="s">
        <v>23</v>
      </c>
      <c r="G52" s="897">
        <f t="shared" si="5"/>
        <v>283.31</v>
      </c>
    </row>
    <row r="53" spans="1:11" ht="12.6" customHeight="1">
      <c r="A53" s="893" t="s">
        <v>107</v>
      </c>
      <c r="B53" s="894"/>
      <c r="C53" s="908">
        <f>1/12</f>
        <v>8.3333333333333329E-2</v>
      </c>
      <c r="D53" s="894" t="s">
        <v>22</v>
      </c>
      <c r="E53" s="905">
        <v>283.31</v>
      </c>
      <c r="F53" s="894" t="s">
        <v>23</v>
      </c>
      <c r="G53" s="897">
        <f t="shared" si="5"/>
        <v>23.61</v>
      </c>
    </row>
    <row r="54" spans="1:11" ht="12.6" customHeight="1">
      <c r="A54" s="906" t="s">
        <v>33</v>
      </c>
      <c r="B54" s="907"/>
      <c r="C54" s="908">
        <f>1/12</f>
        <v>8.3333333333333329E-2</v>
      </c>
      <c r="D54" s="894" t="s">
        <v>22</v>
      </c>
      <c r="E54" s="905">
        <v>283.31</v>
      </c>
      <c r="F54" s="894" t="s">
        <v>23</v>
      </c>
      <c r="G54" s="897">
        <f t="shared" si="5"/>
        <v>23.61</v>
      </c>
    </row>
    <row r="55" spans="1:11" ht="12.6" customHeight="1">
      <c r="A55" s="893" t="s">
        <v>34</v>
      </c>
      <c r="B55" s="894"/>
      <c r="C55" s="909">
        <v>0</v>
      </c>
      <c r="D55" s="894" t="s">
        <v>22</v>
      </c>
      <c r="E55" s="905">
        <v>0</v>
      </c>
      <c r="F55" s="894" t="s">
        <v>23</v>
      </c>
      <c r="G55" s="897">
        <f t="shared" si="5"/>
        <v>0</v>
      </c>
    </row>
    <row r="56" spans="1:11" ht="12.6" customHeight="1">
      <c r="A56" s="893" t="s">
        <v>35</v>
      </c>
      <c r="B56" s="894"/>
      <c r="C56" s="909">
        <v>1</v>
      </c>
      <c r="D56" s="894" t="s">
        <v>22</v>
      </c>
      <c r="E56" s="905">
        <v>100</v>
      </c>
      <c r="F56" s="894" t="s">
        <v>23</v>
      </c>
      <c r="G56" s="897">
        <f t="shared" si="5"/>
        <v>100</v>
      </c>
    </row>
    <row r="57" spans="1:11" ht="12.6" customHeight="1">
      <c r="A57" s="893" t="s">
        <v>37</v>
      </c>
      <c r="B57" s="894"/>
      <c r="C57" s="909">
        <v>1</v>
      </c>
      <c r="D57" s="894" t="s">
        <v>22</v>
      </c>
      <c r="E57" s="905">
        <v>5</v>
      </c>
      <c r="F57" s="894" t="s">
        <v>23</v>
      </c>
      <c r="G57" s="897">
        <f t="shared" si="5"/>
        <v>5</v>
      </c>
      <c r="H57" s="12"/>
    </row>
    <row r="58" spans="1:11" ht="12.6" customHeight="1">
      <c r="A58" s="906" t="s">
        <v>36</v>
      </c>
      <c r="B58" s="907"/>
      <c r="C58" s="909">
        <v>1</v>
      </c>
      <c r="D58" s="894" t="s">
        <v>22</v>
      </c>
      <c r="E58" s="905">
        <v>30</v>
      </c>
      <c r="F58" s="894"/>
      <c r="G58" s="897">
        <f t="shared" si="5"/>
        <v>30</v>
      </c>
    </row>
    <row r="59" spans="1:11" ht="12.6" customHeight="1">
      <c r="A59" s="893" t="s">
        <v>38</v>
      </c>
      <c r="B59" s="894"/>
      <c r="C59" s="910">
        <f>2*dias_mes</f>
        <v>50.5</v>
      </c>
      <c r="D59" s="894" t="s">
        <v>22</v>
      </c>
      <c r="E59" s="905">
        <v>3</v>
      </c>
      <c r="F59" s="894" t="s">
        <v>23</v>
      </c>
      <c r="G59" s="897">
        <f>IF(E44*0.06&lt;C59*E59,ROUND(C59*E59,2)-0.06*E44,0)</f>
        <v>0</v>
      </c>
      <c r="K59" s="116"/>
    </row>
    <row r="60" spans="1:11" ht="12.6" customHeight="1">
      <c r="A60" s="911" t="s">
        <v>39</v>
      </c>
      <c r="B60" s="128"/>
      <c r="C60" s="129">
        <f>C44</f>
        <v>1</v>
      </c>
      <c r="D60" s="128" t="s">
        <v>22</v>
      </c>
      <c r="E60" s="130">
        <f>EPI!$G$13</f>
        <v>90.83</v>
      </c>
      <c r="F60" s="128" t="s">
        <v>23</v>
      </c>
      <c r="G60" s="912">
        <f>ROUND(C60*E60,2)</f>
        <v>90.83</v>
      </c>
    </row>
    <row r="61" spans="1:11" ht="12.6" customHeight="1">
      <c r="A61" s="921" t="s">
        <v>40</v>
      </c>
      <c r="B61" s="136"/>
      <c r="C61" s="137"/>
      <c r="D61" s="136"/>
      <c r="E61" s="137"/>
      <c r="F61" s="136"/>
      <c r="G61" s="922">
        <f>SUM(G50:G60)</f>
        <v>6834.4000000000005</v>
      </c>
    </row>
    <row r="62" spans="1:11" ht="6.75" customHeight="1">
      <c r="A62" s="915"/>
      <c r="B62" s="916"/>
      <c r="C62" s="916"/>
      <c r="D62" s="916"/>
      <c r="E62" s="916"/>
      <c r="F62" s="916"/>
      <c r="G62" s="917"/>
    </row>
    <row r="63" spans="1:11" ht="15.75">
      <c r="A63" s="1349" t="s">
        <v>288</v>
      </c>
      <c r="B63" s="1350"/>
      <c r="C63" s="1350"/>
      <c r="D63" s="1350"/>
      <c r="E63" s="1350"/>
      <c r="F63" s="1350"/>
      <c r="G63" s="1351"/>
    </row>
    <row r="64" spans="1:11" ht="13.5" customHeight="1">
      <c r="A64" s="919" t="s">
        <v>21</v>
      </c>
      <c r="B64" s="133"/>
      <c r="C64" s="134">
        <v>1</v>
      </c>
      <c r="D64" s="133" t="s">
        <v>22</v>
      </c>
      <c r="E64" s="135">
        <v>2655.24</v>
      </c>
      <c r="F64" s="133" t="s">
        <v>23</v>
      </c>
      <c r="G64" s="920">
        <f t="shared" ref="G64:G69" si="6">ROUND(C64*E64,2)</f>
        <v>2655.24</v>
      </c>
    </row>
    <row r="65" spans="1:8" ht="13.5" customHeight="1">
      <c r="A65" s="893" t="s">
        <v>24</v>
      </c>
      <c r="B65" s="894"/>
      <c r="C65" s="898">
        <v>0.4</v>
      </c>
      <c r="D65" s="894" t="s">
        <v>22</v>
      </c>
      <c r="E65" s="899">
        <v>1621</v>
      </c>
      <c r="F65" s="894" t="s">
        <v>23</v>
      </c>
      <c r="G65" s="897">
        <f t="shared" si="6"/>
        <v>648.4</v>
      </c>
    </row>
    <row r="66" spans="1:8" ht="13.5" customHeight="1">
      <c r="A66" s="893" t="s">
        <v>25</v>
      </c>
      <c r="B66" s="894"/>
      <c r="C66" s="900">
        <v>0</v>
      </c>
      <c r="D66" s="894" t="s">
        <v>22</v>
      </c>
      <c r="E66" s="899">
        <f>ROUND((SUM(G64:G65)/220)*1.5,2)</f>
        <v>22.52</v>
      </c>
      <c r="F66" s="894" t="s">
        <v>23</v>
      </c>
      <c r="G66" s="897">
        <f t="shared" si="6"/>
        <v>0</v>
      </c>
    </row>
    <row r="67" spans="1:8" ht="13.5" customHeight="1">
      <c r="A67" s="893" t="s">
        <v>26</v>
      </c>
      <c r="B67" s="894"/>
      <c r="C67" s="900">
        <v>0</v>
      </c>
      <c r="D67" s="894" t="s">
        <v>22</v>
      </c>
      <c r="E67" s="899">
        <f>ROUND((SUM(G64:G65)/220)*2,2)</f>
        <v>30.03</v>
      </c>
      <c r="F67" s="894" t="s">
        <v>23</v>
      </c>
      <c r="G67" s="897">
        <f t="shared" si="6"/>
        <v>0</v>
      </c>
    </row>
    <row r="68" spans="1:8" ht="13.5" customHeight="1">
      <c r="A68" s="893" t="s">
        <v>27</v>
      </c>
      <c r="B68" s="894"/>
      <c r="C68" s="918">
        <f>dias_mes*3.3333</f>
        <v>84.165824999999998</v>
      </c>
      <c r="D68" s="894" t="s">
        <v>22</v>
      </c>
      <c r="E68" s="899">
        <f>(SUM(G64:G65)/220)*0.2</f>
        <v>3.0033090909090912</v>
      </c>
      <c r="F68" s="894" t="s">
        <v>23</v>
      </c>
      <c r="G68" s="897">
        <f t="shared" si="6"/>
        <v>252.78</v>
      </c>
    </row>
    <row r="69" spans="1:8" ht="13.5" customHeight="1">
      <c r="A69" s="893" t="s">
        <v>28</v>
      </c>
      <c r="B69" s="894"/>
      <c r="C69" s="901">
        <f>encargos</f>
        <v>0.73929999999999996</v>
      </c>
      <c r="D69" s="894" t="s">
        <v>22</v>
      </c>
      <c r="E69" s="902">
        <f>SUM(G64:G68)</f>
        <v>3556.42</v>
      </c>
      <c r="F69" s="894" t="s">
        <v>23</v>
      </c>
      <c r="G69" s="897">
        <f t="shared" si="6"/>
        <v>2629.26</v>
      </c>
    </row>
    <row r="70" spans="1:8" ht="13.5" customHeight="1">
      <c r="A70" s="889" t="s">
        <v>29</v>
      </c>
      <c r="B70" s="894"/>
      <c r="C70" s="901"/>
      <c r="D70" s="894"/>
      <c r="E70" s="902"/>
      <c r="F70" s="894"/>
      <c r="G70" s="903">
        <f>SUM(G64:G69)</f>
        <v>6185.68</v>
      </c>
    </row>
    <row r="71" spans="1:8" ht="13.5" customHeight="1">
      <c r="A71" s="893" t="s">
        <v>30</v>
      </c>
      <c r="B71" s="894"/>
      <c r="C71" s="904">
        <f>dias_mes</f>
        <v>25.25</v>
      </c>
      <c r="D71" s="894" t="s">
        <v>22</v>
      </c>
      <c r="E71" s="905">
        <v>21.07</v>
      </c>
      <c r="F71" s="894" t="s">
        <v>23</v>
      </c>
      <c r="G71" s="897">
        <f t="shared" ref="G71:G78" si="7">ROUND(C71*E71,2)</f>
        <v>532.02</v>
      </c>
    </row>
    <row r="72" spans="1:8" ht="13.5" customHeight="1">
      <c r="A72" s="906" t="s">
        <v>31</v>
      </c>
      <c r="B72" s="907"/>
      <c r="C72" s="895">
        <v>1</v>
      </c>
      <c r="D72" s="894" t="s">
        <v>22</v>
      </c>
      <c r="E72" s="905">
        <v>283.31</v>
      </c>
      <c r="F72" s="894" t="s">
        <v>23</v>
      </c>
      <c r="G72" s="897">
        <f t="shared" si="7"/>
        <v>283.31</v>
      </c>
    </row>
    <row r="73" spans="1:8" ht="13.5" customHeight="1">
      <c r="A73" s="893" t="s">
        <v>32</v>
      </c>
      <c r="B73" s="894"/>
      <c r="C73" s="908">
        <f>1/12</f>
        <v>8.3333333333333329E-2</v>
      </c>
      <c r="D73" s="894" t="s">
        <v>22</v>
      </c>
      <c r="E73" s="905">
        <v>283.31</v>
      </c>
      <c r="F73" s="894" t="s">
        <v>23</v>
      </c>
      <c r="G73" s="897">
        <f t="shared" si="7"/>
        <v>23.61</v>
      </c>
    </row>
    <row r="74" spans="1:8" ht="13.5" customHeight="1">
      <c r="A74" s="906" t="s">
        <v>33</v>
      </c>
      <c r="B74" s="907"/>
      <c r="C74" s="908">
        <f>1/12</f>
        <v>8.3333333333333329E-2</v>
      </c>
      <c r="D74" s="894" t="s">
        <v>22</v>
      </c>
      <c r="E74" s="905">
        <v>283.31</v>
      </c>
      <c r="F74" s="894" t="s">
        <v>23</v>
      </c>
      <c r="G74" s="897">
        <f t="shared" si="7"/>
        <v>23.61</v>
      </c>
    </row>
    <row r="75" spans="1:8" ht="13.5" customHeight="1">
      <c r="A75" s="893" t="s">
        <v>34</v>
      </c>
      <c r="B75" s="894"/>
      <c r="C75" s="909">
        <v>0</v>
      </c>
      <c r="D75" s="894" t="s">
        <v>22</v>
      </c>
      <c r="E75" s="905">
        <v>0</v>
      </c>
      <c r="F75" s="894" t="s">
        <v>23</v>
      </c>
      <c r="G75" s="897">
        <f t="shared" si="7"/>
        <v>0</v>
      </c>
    </row>
    <row r="76" spans="1:8" ht="13.5" customHeight="1">
      <c r="A76" s="893" t="s">
        <v>35</v>
      </c>
      <c r="B76" s="894"/>
      <c r="C76" s="909">
        <v>1</v>
      </c>
      <c r="D76" s="894" t="s">
        <v>22</v>
      </c>
      <c r="E76" s="905">
        <v>100</v>
      </c>
      <c r="F76" s="894" t="s">
        <v>23</v>
      </c>
      <c r="G76" s="897">
        <f t="shared" si="7"/>
        <v>100</v>
      </c>
    </row>
    <row r="77" spans="1:8" ht="13.5" customHeight="1">
      <c r="A77" s="893" t="s">
        <v>37</v>
      </c>
      <c r="B77" s="894"/>
      <c r="C77" s="909">
        <v>1</v>
      </c>
      <c r="D77" s="894" t="s">
        <v>22</v>
      </c>
      <c r="E77" s="905">
        <v>5</v>
      </c>
      <c r="F77" s="894" t="s">
        <v>23</v>
      </c>
      <c r="G77" s="897">
        <f t="shared" si="7"/>
        <v>5</v>
      </c>
      <c r="H77" s="12"/>
    </row>
    <row r="78" spans="1:8" ht="13.5" customHeight="1">
      <c r="A78" s="906" t="s">
        <v>36</v>
      </c>
      <c r="B78" s="907"/>
      <c r="C78" s="909">
        <v>1</v>
      </c>
      <c r="D78" s="894" t="s">
        <v>22</v>
      </c>
      <c r="E78" s="905">
        <v>30</v>
      </c>
      <c r="F78" s="894"/>
      <c r="G78" s="897">
        <f t="shared" si="7"/>
        <v>30</v>
      </c>
    </row>
    <row r="79" spans="1:8" ht="13.5" customHeight="1">
      <c r="A79" s="893" t="s">
        <v>38</v>
      </c>
      <c r="B79" s="894"/>
      <c r="C79" s="910">
        <f>2*dias_mes</f>
        <v>50.5</v>
      </c>
      <c r="D79" s="894" t="s">
        <v>22</v>
      </c>
      <c r="E79" s="905">
        <v>3</v>
      </c>
      <c r="F79" s="894" t="s">
        <v>23</v>
      </c>
      <c r="G79" s="897">
        <f>IF(E64*0.06&lt;C79*E79,ROUND(C79*E79,2)-0.06*E64,0)</f>
        <v>0</v>
      </c>
    </row>
    <row r="80" spans="1:8" ht="13.5" customHeight="1">
      <c r="A80" s="911" t="s">
        <v>39</v>
      </c>
      <c r="B80" s="128"/>
      <c r="C80" s="129">
        <f>C64</f>
        <v>1</v>
      </c>
      <c r="D80" s="128" t="s">
        <v>22</v>
      </c>
      <c r="E80" s="130">
        <f>EPI!$G$14</f>
        <v>67.376666666666665</v>
      </c>
      <c r="F80" s="128" t="s">
        <v>23</v>
      </c>
      <c r="G80" s="912">
        <f>ROUND(C80*E80,2)</f>
        <v>67.38</v>
      </c>
    </row>
    <row r="81" spans="1:7" ht="15.75">
      <c r="A81" s="921" t="s">
        <v>40</v>
      </c>
      <c r="B81" s="136"/>
      <c r="C81" s="137"/>
      <c r="D81" s="136"/>
      <c r="E81" s="137"/>
      <c r="F81" s="136"/>
      <c r="G81" s="922">
        <f>SUM(G70:G80)</f>
        <v>7250.6100000000006</v>
      </c>
    </row>
    <row r="82" spans="1:7" ht="6.75" customHeight="1">
      <c r="A82" s="915"/>
      <c r="B82" s="916"/>
      <c r="C82" s="916"/>
      <c r="D82" s="916"/>
      <c r="E82" s="916"/>
      <c r="F82" s="916"/>
      <c r="G82" s="917"/>
    </row>
    <row r="83" spans="1:7" ht="17.25" customHeight="1">
      <c r="A83" s="1349" t="s">
        <v>289</v>
      </c>
      <c r="B83" s="1350"/>
      <c r="C83" s="1350"/>
      <c r="D83" s="1350"/>
      <c r="E83" s="1350"/>
      <c r="F83" s="1350"/>
      <c r="G83" s="1351"/>
    </row>
    <row r="84" spans="1:7" ht="13.5" customHeight="1">
      <c r="A84" s="919" t="s">
        <v>21</v>
      </c>
      <c r="B84" s="133"/>
      <c r="C84" s="134">
        <v>1</v>
      </c>
      <c r="D84" s="133" t="s">
        <v>22</v>
      </c>
      <c r="E84" s="135">
        <v>2655.24</v>
      </c>
      <c r="F84" s="133" t="s">
        <v>23</v>
      </c>
      <c r="G84" s="920">
        <f t="shared" ref="G84:G90" si="8">ROUND(C84*E84,2)</f>
        <v>2655.24</v>
      </c>
    </row>
    <row r="85" spans="1:7" ht="13.5" customHeight="1">
      <c r="A85" s="893" t="s">
        <v>41</v>
      </c>
      <c r="B85" s="894"/>
      <c r="C85" s="138">
        <v>0.4</v>
      </c>
      <c r="D85" s="894" t="s">
        <v>22</v>
      </c>
      <c r="E85" s="899">
        <f>E84</f>
        <v>2655.24</v>
      </c>
      <c r="F85" s="894" t="s">
        <v>23</v>
      </c>
      <c r="G85" s="897">
        <f t="shared" si="8"/>
        <v>1062.0999999999999</v>
      </c>
    </row>
    <row r="86" spans="1:7" ht="13.5" customHeight="1">
      <c r="A86" s="893" t="s">
        <v>24</v>
      </c>
      <c r="B86" s="894"/>
      <c r="C86" s="923">
        <v>0.4</v>
      </c>
      <c r="D86" s="894" t="s">
        <v>22</v>
      </c>
      <c r="E86" s="899">
        <v>1621</v>
      </c>
      <c r="F86" s="894" t="s">
        <v>23</v>
      </c>
      <c r="G86" s="897">
        <f>ROUND(C86*E86,2)</f>
        <v>648.4</v>
      </c>
    </row>
    <row r="87" spans="1:7" ht="13.5" customHeight="1">
      <c r="A87" s="893" t="s">
        <v>25</v>
      </c>
      <c r="B87" s="894"/>
      <c r="C87" s="900">
        <v>0</v>
      </c>
      <c r="D87" s="894" t="s">
        <v>22</v>
      </c>
      <c r="E87" s="899">
        <f>ROUND((SUM(G84:G86)/220)*1.5,2)</f>
        <v>29.77</v>
      </c>
      <c r="F87" s="894" t="s">
        <v>23</v>
      </c>
      <c r="G87" s="897">
        <f t="shared" si="8"/>
        <v>0</v>
      </c>
    </row>
    <row r="88" spans="1:7" ht="13.5" customHeight="1">
      <c r="A88" s="893" t="s">
        <v>26</v>
      </c>
      <c r="B88" s="894"/>
      <c r="C88" s="900">
        <v>0</v>
      </c>
      <c r="D88" s="894" t="s">
        <v>22</v>
      </c>
      <c r="E88" s="899">
        <f>ROUND((SUM(G85:G86)/220)*2,2)</f>
        <v>15.55</v>
      </c>
      <c r="F88" s="894" t="s">
        <v>23</v>
      </c>
      <c r="G88" s="897">
        <f t="shared" si="8"/>
        <v>0</v>
      </c>
    </row>
    <row r="89" spans="1:7" ht="13.5" customHeight="1">
      <c r="A89" s="893" t="s">
        <v>27</v>
      </c>
      <c r="B89" s="894"/>
      <c r="C89" s="900">
        <v>0</v>
      </c>
      <c r="D89" s="894" t="s">
        <v>22</v>
      </c>
      <c r="E89" s="899">
        <f>(SUM(G85:G86)/220)*0.2</f>
        <v>1.5550000000000002</v>
      </c>
      <c r="F89" s="894" t="s">
        <v>23</v>
      </c>
      <c r="G89" s="897">
        <f t="shared" si="8"/>
        <v>0</v>
      </c>
    </row>
    <row r="90" spans="1:7" ht="13.5" customHeight="1">
      <c r="A90" s="893" t="s">
        <v>28</v>
      </c>
      <c r="B90" s="894"/>
      <c r="C90" s="901">
        <f>encargos</f>
        <v>0.73929999999999996</v>
      </c>
      <c r="D90" s="894" t="s">
        <v>22</v>
      </c>
      <c r="E90" s="902">
        <f>SUM(G84:G89)</f>
        <v>4365.74</v>
      </c>
      <c r="F90" s="894" t="s">
        <v>23</v>
      </c>
      <c r="G90" s="897">
        <f t="shared" si="8"/>
        <v>3227.59</v>
      </c>
    </row>
    <row r="91" spans="1:7" ht="13.5" customHeight="1">
      <c r="A91" s="889" t="s">
        <v>29</v>
      </c>
      <c r="B91" s="894"/>
      <c r="C91" s="901"/>
      <c r="D91" s="894"/>
      <c r="E91" s="902"/>
      <c r="F91" s="894"/>
      <c r="G91" s="903">
        <f>SUM(G84:G90)</f>
        <v>7593.33</v>
      </c>
    </row>
    <row r="92" spans="1:7" ht="13.5" customHeight="1">
      <c r="A92" s="893" t="s">
        <v>30</v>
      </c>
      <c r="B92" s="894"/>
      <c r="C92" s="904">
        <f>dias_mes</f>
        <v>25.25</v>
      </c>
      <c r="D92" s="894" t="s">
        <v>22</v>
      </c>
      <c r="E92" s="905">
        <v>21.07</v>
      </c>
      <c r="F92" s="894" t="s">
        <v>23</v>
      </c>
      <c r="G92" s="897">
        <f t="shared" ref="G92:G99" si="9">ROUND(C92*E92,2)</f>
        <v>532.02</v>
      </c>
    </row>
    <row r="93" spans="1:7" ht="13.5" customHeight="1">
      <c r="A93" s="906" t="s">
        <v>31</v>
      </c>
      <c r="B93" s="907"/>
      <c r="C93" s="895">
        <v>1</v>
      </c>
      <c r="D93" s="894" t="s">
        <v>22</v>
      </c>
      <c r="E93" s="905">
        <v>283.31</v>
      </c>
      <c r="F93" s="894" t="s">
        <v>23</v>
      </c>
      <c r="G93" s="897">
        <f t="shared" si="9"/>
        <v>283.31</v>
      </c>
    </row>
    <row r="94" spans="1:7" ht="13.5" customHeight="1">
      <c r="A94" s="893" t="s">
        <v>32</v>
      </c>
      <c r="B94" s="894"/>
      <c r="C94" s="908">
        <f>1/12</f>
        <v>8.3333333333333329E-2</v>
      </c>
      <c r="D94" s="894" t="s">
        <v>22</v>
      </c>
      <c r="E94" s="905">
        <v>283.31</v>
      </c>
      <c r="F94" s="894" t="s">
        <v>23</v>
      </c>
      <c r="G94" s="897">
        <f t="shared" si="9"/>
        <v>23.61</v>
      </c>
    </row>
    <row r="95" spans="1:7" ht="13.5" customHeight="1">
      <c r="A95" s="906" t="s">
        <v>33</v>
      </c>
      <c r="B95" s="907"/>
      <c r="C95" s="908">
        <f>1/12</f>
        <v>8.3333333333333329E-2</v>
      </c>
      <c r="D95" s="894" t="s">
        <v>22</v>
      </c>
      <c r="E95" s="905">
        <v>283.31</v>
      </c>
      <c r="F95" s="894" t="s">
        <v>23</v>
      </c>
      <c r="G95" s="897">
        <f t="shared" si="9"/>
        <v>23.61</v>
      </c>
    </row>
    <row r="96" spans="1:7" ht="13.5" customHeight="1">
      <c r="A96" s="893" t="s">
        <v>34</v>
      </c>
      <c r="B96" s="894"/>
      <c r="C96" s="909">
        <v>0</v>
      </c>
      <c r="D96" s="894" t="s">
        <v>22</v>
      </c>
      <c r="E96" s="905">
        <v>0</v>
      </c>
      <c r="F96" s="894" t="s">
        <v>23</v>
      </c>
      <c r="G96" s="897">
        <f t="shared" si="9"/>
        <v>0</v>
      </c>
    </row>
    <row r="97" spans="1:8" ht="13.5" customHeight="1">
      <c r="A97" s="893" t="s">
        <v>35</v>
      </c>
      <c r="B97" s="894"/>
      <c r="C97" s="909">
        <v>1</v>
      </c>
      <c r="D97" s="894" t="s">
        <v>22</v>
      </c>
      <c r="E97" s="905">
        <v>100</v>
      </c>
      <c r="F97" s="894" t="s">
        <v>23</v>
      </c>
      <c r="G97" s="897">
        <f t="shared" si="9"/>
        <v>100</v>
      </c>
    </row>
    <row r="98" spans="1:8" ht="13.5" customHeight="1">
      <c r="A98" s="893" t="s">
        <v>37</v>
      </c>
      <c r="B98" s="894"/>
      <c r="C98" s="909">
        <v>1</v>
      </c>
      <c r="D98" s="894" t="s">
        <v>22</v>
      </c>
      <c r="E98" s="905">
        <v>5</v>
      </c>
      <c r="F98" s="894" t="s">
        <v>23</v>
      </c>
      <c r="G98" s="897">
        <f t="shared" si="9"/>
        <v>5</v>
      </c>
      <c r="H98" s="12"/>
    </row>
    <row r="99" spans="1:8" ht="13.5" customHeight="1">
      <c r="A99" s="906" t="s">
        <v>36</v>
      </c>
      <c r="B99" s="907"/>
      <c r="C99" s="909">
        <v>1</v>
      </c>
      <c r="D99" s="894" t="s">
        <v>22</v>
      </c>
      <c r="E99" s="905">
        <v>30</v>
      </c>
      <c r="F99" s="894"/>
      <c r="G99" s="897">
        <f t="shared" si="9"/>
        <v>30</v>
      </c>
    </row>
    <row r="100" spans="1:8" ht="13.5" customHeight="1">
      <c r="A100" s="893" t="s">
        <v>38</v>
      </c>
      <c r="B100" s="894"/>
      <c r="C100" s="910">
        <f>2*dias_mes</f>
        <v>50.5</v>
      </c>
      <c r="D100" s="894" t="s">
        <v>22</v>
      </c>
      <c r="E100" s="905">
        <v>3</v>
      </c>
      <c r="F100" s="894" t="s">
        <v>23</v>
      </c>
      <c r="G100" s="897">
        <f>IF(E84*0.06&lt;C100*E100,ROUND(C100*E100,2)-0.06*E84,0)</f>
        <v>0</v>
      </c>
    </row>
    <row r="101" spans="1:8" ht="13.5" customHeight="1">
      <c r="A101" s="911" t="s">
        <v>39</v>
      </c>
      <c r="B101" s="128"/>
      <c r="C101" s="129">
        <f>C84</f>
        <v>1</v>
      </c>
      <c r="D101" s="128" t="s">
        <v>22</v>
      </c>
      <c r="E101" s="130">
        <f>EPI!$G$13</f>
        <v>90.83</v>
      </c>
      <c r="F101" s="128" t="s">
        <v>23</v>
      </c>
      <c r="G101" s="912">
        <f>ROUND(C101*E101,2)</f>
        <v>90.83</v>
      </c>
    </row>
    <row r="102" spans="1:8" ht="15.75">
      <c r="A102" s="921" t="s">
        <v>40</v>
      </c>
      <c r="B102" s="136"/>
      <c r="C102" s="137"/>
      <c r="D102" s="136"/>
      <c r="E102" s="137"/>
      <c r="F102" s="136"/>
      <c r="G102" s="922">
        <f>SUM(G91:G101)</f>
        <v>8681.7100000000009</v>
      </c>
    </row>
    <row r="103" spans="1:8" ht="9.75" customHeight="1">
      <c r="A103" s="889"/>
      <c r="B103" s="890"/>
      <c r="C103" s="891"/>
      <c r="D103" s="890"/>
      <c r="E103" s="891"/>
      <c r="F103" s="890"/>
      <c r="G103" s="892"/>
    </row>
    <row r="104" spans="1:8" ht="21">
      <c r="A104" s="1358" t="s">
        <v>134</v>
      </c>
      <c r="B104" s="1359"/>
      <c r="C104" s="1359"/>
      <c r="D104" s="1359"/>
      <c r="E104" s="1359"/>
      <c r="F104" s="1359"/>
      <c r="G104" s="1360"/>
    </row>
    <row r="105" spans="1:8" ht="15">
      <c r="A105" s="924" t="s">
        <v>42</v>
      </c>
      <c r="B105" s="511" t="s">
        <v>43</v>
      </c>
      <c r="C105" s="1361" t="s">
        <v>44</v>
      </c>
      <c r="D105" s="1361"/>
      <c r="E105" s="511" t="s">
        <v>45</v>
      </c>
      <c r="F105" s="511"/>
      <c r="G105" s="925"/>
    </row>
    <row r="106" spans="1:8" ht="13.5" customHeight="1">
      <c r="A106" s="915" t="s">
        <v>47</v>
      </c>
      <c r="B106" s="926">
        <v>2</v>
      </c>
      <c r="C106" s="1363">
        <f>$G$81</f>
        <v>7250.6100000000006</v>
      </c>
      <c r="D106" s="1363"/>
      <c r="E106" s="927">
        <f>B106*C106</f>
        <v>14501.220000000001</v>
      </c>
      <c r="F106" s="928"/>
      <c r="G106" s="929"/>
    </row>
    <row r="107" spans="1:8" ht="13.5" customHeight="1">
      <c r="A107" s="915" t="s">
        <v>49</v>
      </c>
      <c r="B107" s="926">
        <v>6</v>
      </c>
      <c r="C107" s="1363">
        <f>$G$41</f>
        <v>5960.1544000000004</v>
      </c>
      <c r="D107" s="1363"/>
      <c r="E107" s="927">
        <f>B107*C107</f>
        <v>35760.926400000004</v>
      </c>
      <c r="F107" s="928"/>
      <c r="G107" s="929"/>
    </row>
    <row r="108" spans="1:8" ht="13.5" customHeight="1">
      <c r="A108" s="915" t="s">
        <v>407</v>
      </c>
      <c r="B108" s="926">
        <v>2</v>
      </c>
      <c r="C108" s="1363">
        <f>G30*2.5%</f>
        <v>120.19075000000001</v>
      </c>
      <c r="D108" s="1363"/>
      <c r="E108" s="927">
        <f>B108*C108</f>
        <v>240.38150000000002</v>
      </c>
      <c r="F108" s="928"/>
      <c r="G108" s="929"/>
    </row>
    <row r="109" spans="1:8" ht="13.5" customHeight="1">
      <c r="A109" s="915" t="s">
        <v>408</v>
      </c>
      <c r="B109" s="930">
        <v>1</v>
      </c>
      <c r="C109" s="1363">
        <f>G91*2.5%</f>
        <v>189.83325000000002</v>
      </c>
      <c r="D109" s="1363"/>
      <c r="E109" s="927">
        <f>B109*C109</f>
        <v>189.83325000000002</v>
      </c>
      <c r="F109" s="928"/>
      <c r="G109" s="929"/>
      <c r="H109" s="126"/>
    </row>
    <row r="110" spans="1:8" ht="21">
      <c r="A110" s="1364" t="s">
        <v>50</v>
      </c>
      <c r="B110" s="1365"/>
      <c r="C110" s="1365"/>
      <c r="D110" s="1365"/>
      <c r="E110" s="139">
        <f>SUM(E106:E109)</f>
        <v>50692.361150000012</v>
      </c>
      <c r="F110" s="140"/>
      <c r="G110" s="931"/>
    </row>
    <row r="111" spans="1:8" ht="21">
      <c r="A111" s="932"/>
      <c r="B111" s="141"/>
      <c r="C111" s="141"/>
      <c r="D111" s="141"/>
      <c r="E111" s="142"/>
      <c r="F111" s="143"/>
      <c r="G111" s="933"/>
    </row>
    <row r="112" spans="1:8" ht="21">
      <c r="A112" s="1358" t="s">
        <v>135</v>
      </c>
      <c r="B112" s="1359"/>
      <c r="C112" s="1359"/>
      <c r="D112" s="1359"/>
      <c r="E112" s="1359"/>
      <c r="F112" s="1359"/>
      <c r="G112" s="1360"/>
    </row>
    <row r="113" spans="1:13" ht="15">
      <c r="A113" s="924" t="s">
        <v>42</v>
      </c>
      <c r="B113" s="511" t="s">
        <v>43</v>
      </c>
      <c r="C113" s="1361" t="s">
        <v>44</v>
      </c>
      <c r="D113" s="1361"/>
      <c r="E113" s="511" t="s">
        <v>45</v>
      </c>
      <c r="F113" s="511"/>
      <c r="G113" s="925"/>
    </row>
    <row r="114" spans="1:13" ht="13.5" customHeight="1">
      <c r="A114" s="915" t="s">
        <v>46</v>
      </c>
      <c r="B114" s="926">
        <v>1</v>
      </c>
      <c r="C114" s="1362">
        <f>G61</f>
        <v>6834.4000000000005</v>
      </c>
      <c r="D114" s="1362"/>
      <c r="E114" s="927">
        <f>B114*C114</f>
        <v>6834.4000000000005</v>
      </c>
      <c r="F114" s="928"/>
      <c r="G114" s="929"/>
    </row>
    <row r="115" spans="1:13" ht="13.5" customHeight="1">
      <c r="A115" s="915" t="s">
        <v>48</v>
      </c>
      <c r="B115" s="926">
        <v>2</v>
      </c>
      <c r="C115" s="1363">
        <f>G21</f>
        <v>5641.9044000000004</v>
      </c>
      <c r="D115" s="1363"/>
      <c r="E115" s="927">
        <f>B115*C115</f>
        <v>11283.808800000001</v>
      </c>
      <c r="F115" s="928"/>
      <c r="G115" s="929"/>
    </row>
    <row r="116" spans="1:13" ht="13.5" customHeight="1">
      <c r="A116" s="915" t="s">
        <v>409</v>
      </c>
      <c r="B116" s="926">
        <v>1</v>
      </c>
      <c r="C116" s="1363">
        <f>G10*2.5%</f>
        <v>111.64825000000002</v>
      </c>
      <c r="D116" s="1363"/>
      <c r="E116" s="927">
        <f>B116*C116</f>
        <v>111.64825000000002</v>
      </c>
      <c r="F116" s="928"/>
      <c r="G116" s="929"/>
    </row>
    <row r="117" spans="1:13" ht="13.5" customHeight="1">
      <c r="A117" s="915" t="s">
        <v>408</v>
      </c>
      <c r="B117" s="930">
        <v>1</v>
      </c>
      <c r="C117" s="1363">
        <f>G91*2.5%</f>
        <v>189.83325000000002</v>
      </c>
      <c r="D117" s="1363"/>
      <c r="E117" s="927">
        <f>B117*C117</f>
        <v>189.83325000000002</v>
      </c>
      <c r="F117" s="928"/>
      <c r="G117" s="929"/>
    </row>
    <row r="118" spans="1:13" ht="21">
      <c r="A118" s="1364" t="s">
        <v>50</v>
      </c>
      <c r="B118" s="1365"/>
      <c r="C118" s="1365"/>
      <c r="D118" s="1365"/>
      <c r="E118" s="139">
        <f>SUM(E114:E117)</f>
        <v>18419.690299999998</v>
      </c>
      <c r="F118" s="140"/>
      <c r="G118" s="931"/>
    </row>
    <row r="119" spans="1:13" ht="21.75" thickBot="1">
      <c r="A119" s="934"/>
      <c r="B119" s="144"/>
      <c r="C119" s="144"/>
      <c r="D119" s="144"/>
      <c r="E119" s="145"/>
      <c r="F119" s="146"/>
      <c r="G119" s="935"/>
    </row>
    <row r="120" spans="1:13" ht="33" customHeight="1">
      <c r="A120" s="1366" t="s">
        <v>410</v>
      </c>
      <c r="B120" s="1367"/>
      <c r="C120" s="1367"/>
      <c r="D120" s="1367"/>
      <c r="E120" s="1367"/>
      <c r="F120" s="1367"/>
      <c r="G120" s="1368"/>
    </row>
    <row r="121" spans="1:13" ht="33.75" customHeight="1">
      <c r="A121" s="1369"/>
      <c r="B121" s="1370"/>
      <c r="C121" s="1370"/>
      <c r="D121" s="1370"/>
      <c r="E121" s="1370"/>
      <c r="F121" s="1370"/>
      <c r="G121" s="1371"/>
    </row>
    <row r="122" spans="1:13" ht="35.25" customHeight="1" thickBot="1">
      <c r="A122" s="1372"/>
      <c r="B122" s="1373"/>
      <c r="C122" s="1373"/>
      <c r="D122" s="1373"/>
      <c r="E122" s="1373"/>
      <c r="F122" s="1373"/>
      <c r="G122" s="1374"/>
    </row>
    <row r="123" spans="1:13" ht="20.25">
      <c r="A123" s="1346"/>
      <c r="B123" s="1346"/>
      <c r="C123" s="1346"/>
      <c r="D123" s="1346"/>
      <c r="E123" s="1346"/>
      <c r="F123" s="1346"/>
      <c r="G123" s="1346"/>
    </row>
    <row r="124" spans="1:13" ht="13.5" customHeight="1">
      <c r="A124" s="96"/>
      <c r="B124" s="96"/>
      <c r="C124" s="1347"/>
      <c r="D124" s="1347"/>
      <c r="E124" s="96"/>
      <c r="F124" s="96"/>
      <c r="G124" s="97"/>
    </row>
    <row r="125" spans="1:13" ht="13.5" customHeight="1">
      <c r="A125" s="98"/>
      <c r="B125" s="99"/>
      <c r="C125" s="1348"/>
      <c r="D125" s="1348"/>
      <c r="E125" s="100"/>
      <c r="F125" s="101"/>
      <c r="G125" s="100"/>
      <c r="M125" s="127"/>
    </row>
    <row r="126" spans="1:13" ht="13.5" customHeight="1">
      <c r="A126" s="98"/>
      <c r="B126" s="99"/>
      <c r="C126" s="1348"/>
      <c r="D126" s="1348"/>
      <c r="E126" s="100"/>
      <c r="F126" s="101"/>
      <c r="G126" s="100"/>
    </row>
    <row r="127" spans="1:13" ht="13.5" customHeight="1">
      <c r="A127" s="98"/>
      <c r="B127" s="99"/>
      <c r="C127" s="1348"/>
      <c r="D127" s="1348"/>
      <c r="E127" s="100"/>
      <c r="F127" s="101"/>
      <c r="G127" s="100"/>
    </row>
    <row r="128" spans="1:13" ht="20.25">
      <c r="A128" s="1345"/>
      <c r="B128" s="1345"/>
      <c r="C128" s="1345"/>
      <c r="D128" s="1345"/>
      <c r="E128" s="102"/>
      <c r="F128" s="103"/>
      <c r="G128" s="104"/>
    </row>
    <row r="133" ht="14.25"/>
    <row r="139" ht="14.25"/>
  </sheetData>
  <protectedRanges>
    <protectedRange sqref="C2:G2" name="Intervalo8"/>
    <protectedRange sqref="C103:G103" name="Intervalo11_5"/>
    <protectedRange sqref="E31:E34 E11:E14 E51:E54 E71:E74 E92:E95" name="Intervalo8_2_1"/>
    <protectedRange sqref="E40 E20" name="Intervalo11_1_1"/>
    <protectedRange sqref="C59 C79 C100 C19:C20 C11:D18 C73:C74 C94:C95 C39:C40 E37:E39 E35 C53:D54 C31:D38 C51 C71 C92 E17:E19 E15" name="Intervalo8_3_1"/>
    <protectedRange sqref="D9:G9 C10:G10 C21:G21 D19:D20 F11:G20 C41:G41 F5:G8 C46 C66 C87 F25:G40 C68 D29:E29 C24:G24 D39:D40 C25:D28 C30:E30 C50 C70 C91 C4:G4 C5:D8" name="Intervalo11_2_1"/>
    <protectedRange sqref="E45 E86 E25 E5 E65" name="Intervalo9_1_1"/>
    <protectedRange sqref="C9 C29 C49 C69 C90" name="Intervalo8_1_1_1"/>
    <protectedRange sqref="C60 D51 C101 C80 D71:D74 C72 D92:D95 C93 C52:D52 E36 C55:E58 C75:E78 C96:E99 E16" name="Intervalo8_6_1"/>
    <protectedRange sqref="C45:D45 D49:G50 C61:G61 D59 D60:G60 D87 F45:G45 F51:G59 C102:G102 F84:G86 F92:G100 D90:D91 C86:D86 C44:G44 D100 C81:G81 D79 C88:D89 F65:G65 F71:G79 C67:D67 C47:G48 E6:E8 D46:G46 D66 E66:G70 D68:D70 E87:G91 E26:E28 D80:G80 D101:G101 C84:E85 C65:D65 C64:G64" name="Intervalo11_5_1"/>
    <protectedRange sqref="E59 E79 E100" name="Intervalo8_1_4_1"/>
  </protectedRanges>
  <mergeCells count="27">
    <mergeCell ref="A120:G122"/>
    <mergeCell ref="C116:D116"/>
    <mergeCell ref="C108:D108"/>
    <mergeCell ref="C109:D109"/>
    <mergeCell ref="A118:D118"/>
    <mergeCell ref="C117:D117"/>
    <mergeCell ref="A104:G104"/>
    <mergeCell ref="C105:D105"/>
    <mergeCell ref="C114:D114"/>
    <mergeCell ref="C106:D106"/>
    <mergeCell ref="C115:D115"/>
    <mergeCell ref="C107:D107"/>
    <mergeCell ref="A112:G112"/>
    <mergeCell ref="C113:D113"/>
    <mergeCell ref="A110:D110"/>
    <mergeCell ref="A83:G83"/>
    <mergeCell ref="A1:G1"/>
    <mergeCell ref="A3:G3"/>
    <mergeCell ref="A23:G23"/>
    <mergeCell ref="A43:G43"/>
    <mergeCell ref="A63:G63"/>
    <mergeCell ref="A128:D128"/>
    <mergeCell ref="A123:G123"/>
    <mergeCell ref="C124:D124"/>
    <mergeCell ref="C125:D125"/>
    <mergeCell ref="C126:D126"/>
    <mergeCell ref="C127:D127"/>
  </mergeCells>
  <conditionalFormatting sqref="A123:XFD1048576 A120 H120:XFD122 A1:XFD119">
    <cfRule type="expression" dxfId="41" priority="1">
      <formula>CELL("proteger",A1)=1</formula>
    </cfRule>
  </conditionalFormatting>
  <printOptions horizontalCentered="1"/>
  <pageMargins left="0.7" right="0.7" top="0.75" bottom="0.75" header="0.3" footer="0.3"/>
  <pageSetup paperSize="9" scale="74" fitToHeight="0" orientation="portrait" r:id="rId1"/>
  <headerFooter scaleWithDoc="0"/>
  <rowBreaks count="1" manualBreakCount="1">
    <brk id="62" max="6" man="1"/>
  </rowBreaks>
  <drawing r:id="rId2"/>
  <legacyDrawing r:id="rId3"/>
  <legacyDrawingHF r:id="rId4"/>
  <oleObjects>
    <mc:AlternateContent xmlns:mc="http://schemas.openxmlformats.org/markup-compatibility/2006">
      <mc:Choice Requires="x14">
        <oleObject progId="CorelDraw.Graphic.18" shapeId="27649" r:id="rId5">
          <objectPr defaultSize="0" autoPict="0" r:id="rId6">
            <anchor moveWithCells="1">
              <from>
                <xdr:col>0</xdr:col>
                <xdr:colOff>1790700</xdr:colOff>
                <xdr:row>0</xdr:row>
                <xdr:rowOff>57150</xdr:rowOff>
              </from>
              <to>
                <xdr:col>0</xdr:col>
                <xdr:colOff>2590800</xdr:colOff>
                <xdr:row>0</xdr:row>
                <xdr:rowOff>657225</xdr:rowOff>
              </to>
            </anchor>
          </objectPr>
        </oleObject>
      </mc:Choice>
      <mc:Fallback>
        <oleObject progId="CorelDraw.Graphic.18" shapeId="27649" r:id="rId5"/>
      </mc:Fallback>
    </mc:AlternateContent>
  </oleObjects>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5F0235-D482-4030-AB1C-173FF594C14E}">
  <sheetPr>
    <tabColor theme="1" tint="0.249977111117893"/>
    <pageSetUpPr fitToPage="1"/>
  </sheetPr>
  <dimension ref="A1:I17"/>
  <sheetViews>
    <sheetView view="pageBreakPreview" zoomScaleNormal="100" zoomScaleSheetLayoutView="100" workbookViewId="0">
      <selection activeCell="E18" sqref="E18"/>
    </sheetView>
  </sheetViews>
  <sheetFormatPr defaultColWidth="9.125" defaultRowHeight="14.25"/>
  <cols>
    <col min="1" max="1" width="5.375" style="5" customWidth="1"/>
    <col min="2" max="2" width="45.75" style="5" bestFit="1" customWidth="1"/>
    <col min="3" max="3" width="11.625" style="4" customWidth="1"/>
    <col min="4" max="4" width="12.625" style="5" bestFit="1" customWidth="1"/>
    <col min="5" max="5" width="16" style="5" customWidth="1"/>
    <col min="6" max="6" width="19.75" style="5" bestFit="1" customWidth="1"/>
    <col min="7" max="7" width="20.125" style="5" bestFit="1" customWidth="1"/>
    <col min="8" max="8" width="20.625" style="5" bestFit="1" customWidth="1"/>
    <col min="9" max="9" width="14.375" style="5" bestFit="1" customWidth="1"/>
    <col min="10" max="11" width="9.125" style="5"/>
    <col min="12" max="12" width="14" style="5" bestFit="1" customWidth="1"/>
    <col min="13" max="16384" width="9.125" style="5"/>
  </cols>
  <sheetData>
    <row r="1" spans="1:9" ht="66" customHeight="1" thickBot="1">
      <c r="A1" s="1377" t="s">
        <v>136</v>
      </c>
      <c r="B1" s="1378"/>
      <c r="C1" s="1378"/>
      <c r="D1" s="1378"/>
      <c r="E1" s="1378"/>
      <c r="F1" s="1378"/>
      <c r="G1" s="1378"/>
      <c r="H1" s="1379"/>
    </row>
    <row r="2" spans="1:9" ht="19.5" thickBot="1">
      <c r="A2" s="1380" t="s">
        <v>110</v>
      </c>
      <c r="B2" s="1381"/>
      <c r="C2" s="1381"/>
      <c r="D2" s="1381"/>
      <c r="E2" s="1381"/>
      <c r="F2" s="1381"/>
      <c r="G2" s="1381"/>
      <c r="H2" s="1382"/>
    </row>
    <row r="3" spans="1:9" ht="10.5" customHeight="1" thickBot="1">
      <c r="A3" s="1375"/>
      <c r="B3" s="1376"/>
      <c r="C3" s="1376"/>
      <c r="D3" s="1376"/>
      <c r="E3" s="1376"/>
      <c r="F3" s="1376"/>
      <c r="G3" s="1376"/>
      <c r="H3" s="426"/>
    </row>
    <row r="4" spans="1:9" ht="15.75" customHeight="1">
      <c r="A4" s="235" t="s">
        <v>51</v>
      </c>
      <c r="B4" s="412"/>
      <c r="C4" s="236"/>
      <c r="D4" s="236"/>
      <c r="E4" s="236"/>
      <c r="F4" s="413"/>
      <c r="G4" s="237" t="s">
        <v>52</v>
      </c>
      <c r="H4" s="238">
        <v>46091</v>
      </c>
    </row>
    <row r="5" spans="1:9" ht="16.5" thickBot="1">
      <c r="A5" s="239" t="s">
        <v>127</v>
      </c>
      <c r="B5" s="239"/>
      <c r="C5" s="240"/>
      <c r="D5" s="240"/>
      <c r="E5" s="240"/>
      <c r="F5" s="240"/>
      <c r="G5" s="241" t="s">
        <v>53</v>
      </c>
      <c r="H5" s="416">
        <v>0.24840000000000001</v>
      </c>
    </row>
    <row r="6" spans="1:9" ht="15.75" customHeight="1">
      <c r="A6" s="427"/>
      <c r="B6" s="428"/>
      <c r="C6" s="429"/>
      <c r="D6" s="429"/>
      <c r="E6" s="936"/>
      <c r="F6" s="430"/>
      <c r="G6" s="431"/>
      <c r="H6" s="426"/>
    </row>
    <row r="7" spans="1:9" ht="16.5" thickBot="1">
      <c r="A7" s="937"/>
      <c r="B7" s="938"/>
      <c r="C7" s="938"/>
      <c r="D7" s="938"/>
      <c r="E7" s="938"/>
      <c r="F7" s="938"/>
      <c r="G7" s="939"/>
      <c r="H7" s="426"/>
    </row>
    <row r="8" spans="1:9" s="15" customFormat="1" ht="32.25" thickBot="1">
      <c r="A8" s="286" t="s">
        <v>54</v>
      </c>
      <c r="B8" s="287" t="s">
        <v>55</v>
      </c>
      <c r="C8" s="287" t="s">
        <v>56</v>
      </c>
      <c r="D8" s="287" t="s">
        <v>57</v>
      </c>
      <c r="E8" s="288" t="s">
        <v>230</v>
      </c>
      <c r="F8" s="288" t="s">
        <v>606</v>
      </c>
      <c r="G8" s="289" t="s">
        <v>239</v>
      </c>
      <c r="H8" s="289" t="s">
        <v>240</v>
      </c>
      <c r="I8" s="14"/>
    </row>
    <row r="9" spans="1:9" ht="15.75">
      <c r="A9" s="290">
        <v>1</v>
      </c>
      <c r="B9" s="291" t="s">
        <v>58</v>
      </c>
      <c r="C9" s="292"/>
      <c r="D9" s="293"/>
      <c r="E9" s="294"/>
      <c r="F9" s="295"/>
      <c r="G9" s="296"/>
      <c r="H9" s="297"/>
      <c r="I9" s="14"/>
    </row>
    <row r="10" spans="1:9" ht="15.75">
      <c r="A10" s="243" t="s">
        <v>60</v>
      </c>
      <c r="B10" s="244" t="s">
        <v>599</v>
      </c>
      <c r="C10" s="514" t="s">
        <v>164</v>
      </c>
      <c r="D10" s="245">
        <f>'COLETA URBANA'!K10</f>
        <v>3136.36</v>
      </c>
      <c r="E10" s="246">
        <f>'CAMINHÃO BASC. URBANO'!E60</f>
        <v>12.055523032937336</v>
      </c>
      <c r="F10" s="298">
        <f>E10*(1+H5)</f>
        <v>15.050114954318969</v>
      </c>
      <c r="G10" s="298">
        <f>D10*F10</f>
        <v>47202.578538127847</v>
      </c>
      <c r="H10" s="248">
        <f>G10*12</f>
        <v>566430.94245753414</v>
      </c>
      <c r="I10" s="14"/>
    </row>
    <row r="11" spans="1:9" ht="16.5" thickBot="1">
      <c r="A11" s="299" t="s">
        <v>61</v>
      </c>
      <c r="B11" s="261" t="s">
        <v>600</v>
      </c>
      <c r="C11" s="262" t="s">
        <v>430</v>
      </c>
      <c r="D11" s="263">
        <v>1</v>
      </c>
      <c r="E11" s="300">
        <f>'M.O. COLETA'!E110</f>
        <v>50692.361150000012</v>
      </c>
      <c r="F11" s="301">
        <f>E11*(1+H5)</f>
        <v>63284.343659660015</v>
      </c>
      <c r="G11" s="265">
        <f>D11*F11</f>
        <v>63284.343659660015</v>
      </c>
      <c r="H11" s="302">
        <f>G11*12</f>
        <v>759412.12391592015</v>
      </c>
    </row>
    <row r="12" spans="1:9" ht="21.75" thickBot="1">
      <c r="A12" s="1383" t="s">
        <v>62</v>
      </c>
      <c r="B12" s="1384"/>
      <c r="C12" s="1384"/>
      <c r="D12" s="1384"/>
      <c r="E12" s="1384"/>
      <c r="F12" s="1385"/>
      <c r="G12" s="303">
        <f>SUM(G10:G11)</f>
        <v>110486.92219778786</v>
      </c>
      <c r="H12" s="268">
        <f>SUM(H10+H11)</f>
        <v>1325843.0663734544</v>
      </c>
      <c r="I12" s="16"/>
    </row>
    <row r="13" spans="1:9" ht="15">
      <c r="A13" s="148"/>
      <c r="B13" s="148"/>
      <c r="C13" s="187"/>
      <c r="D13" s="148"/>
      <c r="E13" s="148"/>
      <c r="F13" s="148"/>
      <c r="G13" s="148"/>
      <c r="H13" s="148"/>
    </row>
    <row r="16" spans="1:9">
      <c r="G16" s="16"/>
      <c r="H16" s="16"/>
    </row>
    <row r="17" spans="8:8">
      <c r="H17" s="58"/>
    </row>
  </sheetData>
  <protectedRanges>
    <protectedRange sqref="M6:O6 U6:W6 AC6:AE6 AK6:AM6 AS6:AU6 BA6:BC6 BI6:BK6 BQ6:BS6 BY6:CA6 CG6:CI6 CO6:CQ6 CW6:CY6 DE6:DG6 DM6:DO6 DU6:DW6 EC6:EE6 EK6:EM6 ES6:EU6 FA6:FC6 FI6:FK6 FQ6:FS6 FY6:GA6 GG6:GI6 GO6:GQ6 GW6:GY6 HE6:HG6 HM6:HO6 HU6:HW6 IC6:IE6 IK6:IM6 IS6:IU6 JA6:JC6 JI6:JK6 JQ6:JS6 JY6:KA6 KG6:KI6 KO6:KQ6 KW6:KY6 LE6:LG6 LM6:LO6 LU6:LW6 MC6:ME6 MK6:MM6 MS6:MU6 NA6:NC6 NI6:NK6 NQ6:NS6 NY6:OA6 OG6:OI6 OO6:OQ6 OW6:OY6 PE6:PG6 PM6:PO6 PU6:PW6 QC6:QE6 QK6:QM6 QS6:QU6 RA6:RC6 RI6:RK6 RQ6:RS6 RY6:SA6 SG6:SI6 SO6:SQ6 SW6:SY6 TE6:TG6 TM6:TO6 TU6:TW6 UC6:UE6 UK6:UM6 US6:UU6 VA6:VC6 VI6:VK6 VQ6:VS6 VY6:WA6 WG6:WI6 WO6:WQ6 WW6:WY6 XE6:XG6 XM6:XO6 XU6:XW6 YC6:YE6 YK6:YM6 YS6:YU6 ZA6:ZC6 ZI6:ZK6 ZQ6:ZS6 ZY6:AAA6 AAG6:AAI6 AAO6:AAQ6 AAW6:AAY6 ABE6:ABG6 ABM6:ABO6 ABU6:ABW6 ACC6:ACE6 ACK6:ACM6 ACS6:ACU6 ADA6:ADC6 ADI6:ADK6 ADQ6:ADS6 ADY6:AEA6 AEG6:AEI6 AEO6:AEQ6 AEW6:AEY6 AFE6:AFG6 AFM6:AFO6 AFU6:AFW6 AGC6:AGE6 AGK6:AGM6 AGS6:AGU6 AHA6:AHC6 AHI6:AHK6 AHQ6:AHS6 AHY6:AIA6 AIG6:AII6 AIO6:AIQ6 AIW6:AIY6 AJE6:AJG6 AJM6:AJO6 AJU6:AJW6 AKC6:AKE6 AKK6:AKM6 AKS6:AKU6 ALA6:ALC6 ALI6:ALK6 ALQ6:ALS6 ALY6:AMA6 AMG6:AMI6 AMO6:AMQ6 AMW6:AMY6 ANE6:ANG6 ANM6:ANO6 ANU6:ANW6 AOC6:AOE6 AOK6:AOM6 AOS6:AOU6 APA6:APC6 API6:APK6 APQ6:APS6 APY6:AQA6 AQG6:AQI6 AQO6:AQQ6 AQW6:AQY6 ARE6:ARG6 ARM6:ARO6 ARU6:ARW6 ASC6:ASE6 ASK6:ASM6 ASS6:ASU6 ATA6:ATC6 ATI6:ATK6 ATQ6:ATS6 ATY6:AUA6 AUG6:AUI6 AUO6:AUQ6 AUW6:AUY6 AVE6:AVG6 AVM6:AVO6 AVU6:AVW6 AWC6:AWE6 AWK6:AWM6 AWS6:AWU6 AXA6:AXC6 AXI6:AXK6 AXQ6:AXS6 AXY6:AYA6 AYG6:AYI6 AYO6:AYQ6 AYW6:AYY6 AZE6:AZG6 AZM6:AZO6 AZU6:AZW6 BAC6:BAE6 BAK6:BAM6 BAS6:BAU6 BBA6:BBC6 BBI6:BBK6 BBQ6:BBS6 BBY6:BCA6 BCG6:BCI6 BCO6:BCQ6 BCW6:BCY6 BDE6:BDG6 BDM6:BDO6 BDU6:BDW6 BEC6:BEE6 BEK6:BEM6 BES6:BEU6 BFA6:BFC6 BFI6:BFK6 BFQ6:BFS6 BFY6:BGA6 BGG6:BGI6 BGO6:BGQ6 BGW6:BGY6 BHE6:BHG6 BHM6:BHO6 BHU6:BHW6 BIC6:BIE6 BIK6:BIM6 BIS6:BIU6 BJA6:BJC6 BJI6:BJK6 BJQ6:BJS6 BJY6:BKA6 BKG6:BKI6 BKO6:BKQ6 BKW6:BKY6 BLE6:BLG6 BLM6:BLO6 BLU6:BLW6 BMC6:BME6 BMK6:BMM6 BMS6:BMU6 BNA6:BNC6 BNI6:BNK6 BNQ6:BNS6 BNY6:BOA6 BOG6:BOI6 BOO6:BOQ6 BOW6:BOY6 BPE6:BPG6 BPM6:BPO6 BPU6:BPW6 BQC6:BQE6 BQK6:BQM6 BQS6:BQU6 BRA6:BRC6 BRI6:BRK6 BRQ6:BRS6 BRY6:BSA6 BSG6:BSI6 BSO6:BSQ6 BSW6:BSY6 BTE6:BTG6 BTM6:BTO6 BTU6:BTW6 BUC6:BUE6 BUK6:BUM6 BUS6:BUU6 BVA6:BVC6 BVI6:BVK6 BVQ6:BVS6 BVY6:BWA6 BWG6:BWI6 BWO6:BWQ6 BWW6:BWY6 BXE6:BXG6 BXM6:BXO6 BXU6:BXW6 BYC6:BYE6 BYK6:BYM6 BYS6:BYU6 BZA6:BZC6 BZI6:BZK6 BZQ6:BZS6 BZY6:CAA6 CAG6:CAI6 CAO6:CAQ6 CAW6:CAY6 CBE6:CBG6 CBM6:CBO6 CBU6:CBW6 CCC6:CCE6 CCK6:CCM6 CCS6:CCU6 CDA6:CDC6 CDI6:CDK6 CDQ6:CDS6 CDY6:CEA6 CEG6:CEI6 CEO6:CEQ6 CEW6:CEY6 CFE6:CFG6 CFM6:CFO6 CFU6:CFW6 CGC6:CGE6 CGK6:CGM6 CGS6:CGU6 CHA6:CHC6 CHI6:CHK6 CHQ6:CHS6 CHY6:CIA6 CIG6:CII6 CIO6:CIQ6 CIW6:CIY6 CJE6:CJG6 CJM6:CJO6 CJU6:CJW6 CKC6:CKE6 CKK6:CKM6 CKS6:CKU6 CLA6:CLC6 CLI6:CLK6 CLQ6:CLS6 CLY6:CMA6 CMG6:CMI6 CMO6:CMQ6 CMW6:CMY6 CNE6:CNG6 CNM6:CNO6 CNU6:CNW6 COC6:COE6 COK6:COM6 COS6:COU6 CPA6:CPC6 CPI6:CPK6 CPQ6:CPS6 CPY6:CQA6 CQG6:CQI6 CQO6:CQQ6 CQW6:CQY6 CRE6:CRG6 CRM6:CRO6 CRU6:CRW6 CSC6:CSE6 CSK6:CSM6 CSS6:CSU6 CTA6:CTC6 CTI6:CTK6 CTQ6:CTS6 CTY6:CUA6 CUG6:CUI6 CUO6:CUQ6 CUW6:CUY6 CVE6:CVG6 CVM6:CVO6 CVU6:CVW6 CWC6:CWE6 CWK6:CWM6 CWS6:CWU6 CXA6:CXC6 CXI6:CXK6 CXQ6:CXS6 CXY6:CYA6 CYG6:CYI6 CYO6:CYQ6 CYW6:CYY6 CZE6:CZG6 CZM6:CZO6 CZU6:CZW6 DAC6:DAE6 DAK6:DAM6 DAS6:DAU6 DBA6:DBC6 DBI6:DBK6 DBQ6:DBS6 DBY6:DCA6 DCG6:DCI6 DCO6:DCQ6 DCW6:DCY6 DDE6:DDG6 DDM6:DDO6 DDU6:DDW6 DEC6:DEE6 DEK6:DEM6 DES6:DEU6 DFA6:DFC6 DFI6:DFK6 DFQ6:DFS6 DFY6:DGA6 DGG6:DGI6 DGO6:DGQ6 DGW6:DGY6 DHE6:DHG6 DHM6:DHO6 DHU6:DHW6 DIC6:DIE6 DIK6:DIM6 DIS6:DIU6 DJA6:DJC6 DJI6:DJK6 DJQ6:DJS6 DJY6:DKA6 DKG6:DKI6 DKO6:DKQ6 DKW6:DKY6 DLE6:DLG6 DLM6:DLO6 DLU6:DLW6 DMC6:DME6 DMK6:DMM6 DMS6:DMU6 DNA6:DNC6 DNI6:DNK6 DNQ6:DNS6 DNY6:DOA6 DOG6:DOI6 DOO6:DOQ6 DOW6:DOY6 DPE6:DPG6 DPM6:DPO6 DPU6:DPW6 DQC6:DQE6 DQK6:DQM6 DQS6:DQU6 DRA6:DRC6 DRI6:DRK6 DRQ6:DRS6 DRY6:DSA6 DSG6:DSI6 DSO6:DSQ6 DSW6:DSY6 DTE6:DTG6 DTM6:DTO6 DTU6:DTW6 DUC6:DUE6 DUK6:DUM6 DUS6:DUU6 DVA6:DVC6 DVI6:DVK6 DVQ6:DVS6 DVY6:DWA6 DWG6:DWI6 DWO6:DWQ6 DWW6:DWY6 DXE6:DXG6 DXM6:DXO6 DXU6:DXW6 DYC6:DYE6 DYK6:DYM6 DYS6:DYU6 DZA6:DZC6 DZI6:DZK6 DZQ6:DZS6 DZY6:EAA6 EAG6:EAI6 EAO6:EAQ6 EAW6:EAY6 EBE6:EBG6 EBM6:EBO6 EBU6:EBW6 ECC6:ECE6 ECK6:ECM6 ECS6:ECU6 EDA6:EDC6 EDI6:EDK6 EDQ6:EDS6 EDY6:EEA6 EEG6:EEI6 EEO6:EEQ6 EEW6:EEY6 EFE6:EFG6 EFM6:EFO6 EFU6:EFW6 EGC6:EGE6 EGK6:EGM6 EGS6:EGU6 EHA6:EHC6 EHI6:EHK6 EHQ6:EHS6 EHY6:EIA6 EIG6:EII6 EIO6:EIQ6 EIW6:EIY6 EJE6:EJG6 EJM6:EJO6 EJU6:EJW6 EKC6:EKE6 EKK6:EKM6 EKS6:EKU6 ELA6:ELC6 ELI6:ELK6 ELQ6:ELS6 ELY6:EMA6 EMG6:EMI6 EMO6:EMQ6 EMW6:EMY6 ENE6:ENG6 ENM6:ENO6 ENU6:ENW6 EOC6:EOE6 EOK6:EOM6 EOS6:EOU6 EPA6:EPC6 EPI6:EPK6 EPQ6:EPS6 EPY6:EQA6 EQG6:EQI6 EQO6:EQQ6 EQW6:EQY6 ERE6:ERG6 ERM6:ERO6 ERU6:ERW6 ESC6:ESE6 ESK6:ESM6 ESS6:ESU6 ETA6:ETC6 ETI6:ETK6 ETQ6:ETS6 ETY6:EUA6 EUG6:EUI6 EUO6:EUQ6 EUW6:EUY6 EVE6:EVG6 EVM6:EVO6 EVU6:EVW6 EWC6:EWE6 EWK6:EWM6 EWS6:EWU6 EXA6:EXC6 EXI6:EXK6 EXQ6:EXS6 EXY6:EYA6 EYG6:EYI6 EYO6:EYQ6 EYW6:EYY6 EZE6:EZG6 EZM6:EZO6 EZU6:EZW6 FAC6:FAE6 FAK6:FAM6 FAS6:FAU6 FBA6:FBC6 FBI6:FBK6 FBQ6:FBS6 FBY6:FCA6 FCG6:FCI6 FCO6:FCQ6 FCW6:FCY6 FDE6:FDG6 FDM6:FDO6 FDU6:FDW6 FEC6:FEE6 FEK6:FEM6 FES6:FEU6 FFA6:FFC6 FFI6:FFK6 FFQ6:FFS6 FFY6:FGA6 FGG6:FGI6 FGO6:FGQ6 FGW6:FGY6 FHE6:FHG6 FHM6:FHO6 FHU6:FHW6 FIC6:FIE6 FIK6:FIM6 FIS6:FIU6 FJA6:FJC6 FJI6:FJK6 FJQ6:FJS6 FJY6:FKA6 FKG6:FKI6 FKO6:FKQ6 FKW6:FKY6 FLE6:FLG6 FLM6:FLO6 FLU6:FLW6 FMC6:FME6 FMK6:FMM6 FMS6:FMU6 FNA6:FNC6 FNI6:FNK6 FNQ6:FNS6 FNY6:FOA6 FOG6:FOI6 FOO6:FOQ6 FOW6:FOY6 FPE6:FPG6 FPM6:FPO6 FPU6:FPW6 FQC6:FQE6 FQK6:FQM6 FQS6:FQU6 FRA6:FRC6 FRI6:FRK6 FRQ6:FRS6 FRY6:FSA6 FSG6:FSI6 FSO6:FSQ6 FSW6:FSY6 FTE6:FTG6 FTM6:FTO6 FTU6:FTW6 FUC6:FUE6 FUK6:FUM6 FUS6:FUU6 FVA6:FVC6 FVI6:FVK6 FVQ6:FVS6 FVY6:FWA6 FWG6:FWI6 FWO6:FWQ6 FWW6:FWY6 FXE6:FXG6 FXM6:FXO6 FXU6:FXW6 FYC6:FYE6 FYK6:FYM6 FYS6:FYU6 FZA6:FZC6 FZI6:FZK6 FZQ6:FZS6 FZY6:GAA6 GAG6:GAI6 GAO6:GAQ6 GAW6:GAY6 GBE6:GBG6 GBM6:GBO6 GBU6:GBW6 GCC6:GCE6 GCK6:GCM6 GCS6:GCU6 GDA6:GDC6 GDI6:GDK6 GDQ6:GDS6 GDY6:GEA6 GEG6:GEI6 GEO6:GEQ6 GEW6:GEY6 GFE6:GFG6 GFM6:GFO6 GFU6:GFW6 GGC6:GGE6 GGK6:GGM6 GGS6:GGU6 GHA6:GHC6 GHI6:GHK6 GHQ6:GHS6 GHY6:GIA6 GIG6:GII6 GIO6:GIQ6 GIW6:GIY6 GJE6:GJG6 GJM6:GJO6 GJU6:GJW6 GKC6:GKE6 GKK6:GKM6 GKS6:GKU6 GLA6:GLC6 GLI6:GLK6 GLQ6:GLS6 GLY6:GMA6 GMG6:GMI6 GMO6:GMQ6 GMW6:GMY6 GNE6:GNG6 GNM6:GNO6 GNU6:GNW6 GOC6:GOE6 GOK6:GOM6 GOS6:GOU6 GPA6:GPC6 GPI6:GPK6 GPQ6:GPS6 GPY6:GQA6 GQG6:GQI6 GQO6:GQQ6 GQW6:GQY6 GRE6:GRG6 GRM6:GRO6 GRU6:GRW6 GSC6:GSE6 GSK6:GSM6 GSS6:GSU6 GTA6:GTC6 GTI6:GTK6 GTQ6:GTS6 GTY6:GUA6 GUG6:GUI6 GUO6:GUQ6 GUW6:GUY6 GVE6:GVG6 GVM6:GVO6 GVU6:GVW6 GWC6:GWE6 GWK6:GWM6 GWS6:GWU6 GXA6:GXC6 GXI6:GXK6 GXQ6:GXS6 GXY6:GYA6 GYG6:GYI6 GYO6:GYQ6 GYW6:GYY6 GZE6:GZG6 GZM6:GZO6 GZU6:GZW6 HAC6:HAE6 HAK6:HAM6 HAS6:HAU6 HBA6:HBC6 HBI6:HBK6 HBQ6:HBS6 HBY6:HCA6 HCG6:HCI6 HCO6:HCQ6 HCW6:HCY6 HDE6:HDG6 HDM6:HDO6 HDU6:HDW6 HEC6:HEE6 HEK6:HEM6 HES6:HEU6 HFA6:HFC6 HFI6:HFK6 HFQ6:HFS6 HFY6:HGA6 HGG6:HGI6 HGO6:HGQ6 HGW6:HGY6 HHE6:HHG6 HHM6:HHO6 HHU6:HHW6 HIC6:HIE6 HIK6:HIM6 HIS6:HIU6 HJA6:HJC6 HJI6:HJK6 HJQ6:HJS6 HJY6:HKA6 HKG6:HKI6 HKO6:HKQ6 HKW6:HKY6 HLE6:HLG6 HLM6:HLO6 HLU6:HLW6 HMC6:HME6 HMK6:HMM6 HMS6:HMU6 HNA6:HNC6 HNI6:HNK6 HNQ6:HNS6 HNY6:HOA6 HOG6:HOI6 HOO6:HOQ6 HOW6:HOY6 HPE6:HPG6 HPM6:HPO6 HPU6:HPW6 HQC6:HQE6 HQK6:HQM6 HQS6:HQU6 HRA6:HRC6 HRI6:HRK6 HRQ6:HRS6 HRY6:HSA6 HSG6:HSI6 HSO6:HSQ6 HSW6:HSY6 HTE6:HTG6 HTM6:HTO6 HTU6:HTW6 HUC6:HUE6 HUK6:HUM6 HUS6:HUU6 HVA6:HVC6 HVI6:HVK6 HVQ6:HVS6 HVY6:HWA6 HWG6:HWI6 HWO6:HWQ6 HWW6:HWY6 HXE6:HXG6 HXM6:HXO6 HXU6:HXW6 HYC6:HYE6 HYK6:HYM6 HYS6:HYU6 HZA6:HZC6 HZI6:HZK6 HZQ6:HZS6 HZY6:IAA6 IAG6:IAI6 IAO6:IAQ6 IAW6:IAY6 IBE6:IBG6 IBM6:IBO6 IBU6:IBW6 ICC6:ICE6 ICK6:ICM6 ICS6:ICU6 IDA6:IDC6 IDI6:IDK6 IDQ6:IDS6 IDY6:IEA6 IEG6:IEI6 IEO6:IEQ6 IEW6:IEY6 IFE6:IFG6 IFM6:IFO6 IFU6:IFW6 IGC6:IGE6 IGK6:IGM6 IGS6:IGU6 IHA6:IHC6 IHI6:IHK6 IHQ6:IHS6 IHY6:IIA6 IIG6:III6 IIO6:IIQ6 IIW6:IIY6 IJE6:IJG6 IJM6:IJO6 IJU6:IJW6 IKC6:IKE6 IKK6:IKM6 IKS6:IKU6 ILA6:ILC6 ILI6:ILK6 ILQ6:ILS6 ILY6:IMA6 IMG6:IMI6 IMO6:IMQ6 IMW6:IMY6 INE6:ING6 INM6:INO6 INU6:INW6 IOC6:IOE6 IOK6:IOM6 IOS6:IOU6 IPA6:IPC6 IPI6:IPK6 IPQ6:IPS6 IPY6:IQA6 IQG6:IQI6 IQO6:IQQ6 IQW6:IQY6 IRE6:IRG6 IRM6:IRO6 IRU6:IRW6 ISC6:ISE6 ISK6:ISM6 ISS6:ISU6 ITA6:ITC6 ITI6:ITK6 ITQ6:ITS6 ITY6:IUA6 IUG6:IUI6 IUO6:IUQ6 IUW6:IUY6 IVE6:IVG6 IVM6:IVO6 IVU6:IVW6 IWC6:IWE6 IWK6:IWM6 IWS6:IWU6 IXA6:IXC6 IXI6:IXK6 IXQ6:IXS6 IXY6:IYA6 IYG6:IYI6 IYO6:IYQ6 IYW6:IYY6 IZE6:IZG6 IZM6:IZO6 IZU6:IZW6 JAC6:JAE6 JAK6:JAM6 JAS6:JAU6 JBA6:JBC6 JBI6:JBK6 JBQ6:JBS6 JBY6:JCA6 JCG6:JCI6 JCO6:JCQ6 JCW6:JCY6 JDE6:JDG6 JDM6:JDO6 JDU6:JDW6 JEC6:JEE6 JEK6:JEM6 JES6:JEU6 JFA6:JFC6 JFI6:JFK6 JFQ6:JFS6 JFY6:JGA6 JGG6:JGI6 JGO6:JGQ6 JGW6:JGY6 JHE6:JHG6 JHM6:JHO6 JHU6:JHW6 JIC6:JIE6 JIK6:JIM6 JIS6:JIU6 JJA6:JJC6 JJI6:JJK6 JJQ6:JJS6 JJY6:JKA6 JKG6:JKI6 JKO6:JKQ6 JKW6:JKY6 JLE6:JLG6 JLM6:JLO6 JLU6:JLW6 JMC6:JME6 JMK6:JMM6 JMS6:JMU6 JNA6:JNC6 JNI6:JNK6 JNQ6:JNS6 JNY6:JOA6 JOG6:JOI6 JOO6:JOQ6 JOW6:JOY6 JPE6:JPG6 JPM6:JPO6 JPU6:JPW6 JQC6:JQE6 JQK6:JQM6 JQS6:JQU6 JRA6:JRC6 JRI6:JRK6 JRQ6:JRS6 JRY6:JSA6 JSG6:JSI6 JSO6:JSQ6 JSW6:JSY6 JTE6:JTG6 JTM6:JTO6 JTU6:JTW6 JUC6:JUE6 JUK6:JUM6 JUS6:JUU6 JVA6:JVC6 JVI6:JVK6 JVQ6:JVS6 JVY6:JWA6 JWG6:JWI6 JWO6:JWQ6 JWW6:JWY6 JXE6:JXG6 JXM6:JXO6 JXU6:JXW6 JYC6:JYE6 JYK6:JYM6 JYS6:JYU6 JZA6:JZC6 JZI6:JZK6 JZQ6:JZS6 JZY6:KAA6 KAG6:KAI6 KAO6:KAQ6 KAW6:KAY6 KBE6:KBG6 KBM6:KBO6 KBU6:KBW6 KCC6:KCE6 KCK6:KCM6 KCS6:KCU6 KDA6:KDC6 KDI6:KDK6 KDQ6:KDS6 KDY6:KEA6 KEG6:KEI6 KEO6:KEQ6 KEW6:KEY6 KFE6:KFG6 KFM6:KFO6 KFU6:KFW6 KGC6:KGE6 KGK6:KGM6 KGS6:KGU6 KHA6:KHC6 KHI6:KHK6 KHQ6:KHS6 KHY6:KIA6 KIG6:KII6 KIO6:KIQ6 KIW6:KIY6 KJE6:KJG6 KJM6:KJO6 KJU6:KJW6 KKC6:KKE6 KKK6:KKM6 KKS6:KKU6 KLA6:KLC6 KLI6:KLK6 KLQ6:KLS6 KLY6:KMA6 KMG6:KMI6 KMO6:KMQ6 KMW6:KMY6 KNE6:KNG6 KNM6:KNO6 KNU6:KNW6 KOC6:KOE6 KOK6:KOM6 KOS6:KOU6 KPA6:KPC6 KPI6:KPK6 KPQ6:KPS6 KPY6:KQA6 KQG6:KQI6 KQO6:KQQ6 KQW6:KQY6 KRE6:KRG6 KRM6:KRO6 KRU6:KRW6 KSC6:KSE6 KSK6:KSM6 KSS6:KSU6 KTA6:KTC6 KTI6:KTK6 KTQ6:KTS6 KTY6:KUA6 KUG6:KUI6 KUO6:KUQ6 KUW6:KUY6 KVE6:KVG6 KVM6:KVO6 KVU6:KVW6 KWC6:KWE6 KWK6:KWM6 KWS6:KWU6 KXA6:KXC6 KXI6:KXK6 KXQ6:KXS6 KXY6:KYA6 KYG6:KYI6 KYO6:KYQ6 KYW6:KYY6 KZE6:KZG6 KZM6:KZO6 KZU6:KZW6 LAC6:LAE6 LAK6:LAM6 LAS6:LAU6 LBA6:LBC6 LBI6:LBK6 LBQ6:LBS6 LBY6:LCA6 LCG6:LCI6 LCO6:LCQ6 LCW6:LCY6 LDE6:LDG6 LDM6:LDO6 LDU6:LDW6 LEC6:LEE6 LEK6:LEM6 LES6:LEU6 LFA6:LFC6 LFI6:LFK6 LFQ6:LFS6 LFY6:LGA6 LGG6:LGI6 LGO6:LGQ6 LGW6:LGY6 LHE6:LHG6 LHM6:LHO6 LHU6:LHW6 LIC6:LIE6 LIK6:LIM6 LIS6:LIU6 LJA6:LJC6 LJI6:LJK6 LJQ6:LJS6 LJY6:LKA6 LKG6:LKI6 LKO6:LKQ6 LKW6:LKY6 LLE6:LLG6 LLM6:LLO6 LLU6:LLW6 LMC6:LME6 LMK6:LMM6 LMS6:LMU6 LNA6:LNC6 LNI6:LNK6 LNQ6:LNS6 LNY6:LOA6 LOG6:LOI6 LOO6:LOQ6 LOW6:LOY6 LPE6:LPG6 LPM6:LPO6 LPU6:LPW6 LQC6:LQE6 LQK6:LQM6 LQS6:LQU6 LRA6:LRC6 LRI6:LRK6 LRQ6:LRS6 LRY6:LSA6 LSG6:LSI6 LSO6:LSQ6 LSW6:LSY6 LTE6:LTG6 LTM6:LTO6 LTU6:LTW6 LUC6:LUE6 LUK6:LUM6 LUS6:LUU6 LVA6:LVC6 LVI6:LVK6 LVQ6:LVS6 LVY6:LWA6 LWG6:LWI6 LWO6:LWQ6 LWW6:LWY6 LXE6:LXG6 LXM6:LXO6 LXU6:LXW6 LYC6:LYE6 LYK6:LYM6 LYS6:LYU6 LZA6:LZC6 LZI6:LZK6 LZQ6:LZS6 LZY6:MAA6 MAG6:MAI6 MAO6:MAQ6 MAW6:MAY6 MBE6:MBG6 MBM6:MBO6 MBU6:MBW6 MCC6:MCE6 MCK6:MCM6 MCS6:MCU6 MDA6:MDC6 MDI6:MDK6 MDQ6:MDS6 MDY6:MEA6 MEG6:MEI6 MEO6:MEQ6 MEW6:MEY6 MFE6:MFG6 MFM6:MFO6 MFU6:MFW6 MGC6:MGE6 MGK6:MGM6 MGS6:MGU6 MHA6:MHC6 MHI6:MHK6 MHQ6:MHS6 MHY6:MIA6 MIG6:MII6 MIO6:MIQ6 MIW6:MIY6 MJE6:MJG6 MJM6:MJO6 MJU6:MJW6 MKC6:MKE6 MKK6:MKM6 MKS6:MKU6 MLA6:MLC6 MLI6:MLK6 MLQ6:MLS6 MLY6:MMA6 MMG6:MMI6 MMO6:MMQ6 MMW6:MMY6 MNE6:MNG6 MNM6:MNO6 MNU6:MNW6 MOC6:MOE6 MOK6:MOM6 MOS6:MOU6 MPA6:MPC6 MPI6:MPK6 MPQ6:MPS6 MPY6:MQA6 MQG6:MQI6 MQO6:MQQ6 MQW6:MQY6 MRE6:MRG6 MRM6:MRO6 MRU6:MRW6 MSC6:MSE6 MSK6:MSM6 MSS6:MSU6 MTA6:MTC6 MTI6:MTK6 MTQ6:MTS6 MTY6:MUA6 MUG6:MUI6 MUO6:MUQ6 MUW6:MUY6 MVE6:MVG6 MVM6:MVO6 MVU6:MVW6 MWC6:MWE6 MWK6:MWM6 MWS6:MWU6 MXA6:MXC6 MXI6:MXK6 MXQ6:MXS6 MXY6:MYA6 MYG6:MYI6 MYO6:MYQ6 MYW6:MYY6 MZE6:MZG6 MZM6:MZO6 MZU6:MZW6 NAC6:NAE6 NAK6:NAM6 NAS6:NAU6 NBA6:NBC6 NBI6:NBK6 NBQ6:NBS6 NBY6:NCA6 NCG6:NCI6 NCO6:NCQ6 NCW6:NCY6 NDE6:NDG6 NDM6:NDO6 NDU6:NDW6 NEC6:NEE6 NEK6:NEM6 NES6:NEU6 NFA6:NFC6 NFI6:NFK6 NFQ6:NFS6 NFY6:NGA6 NGG6:NGI6 NGO6:NGQ6 NGW6:NGY6 NHE6:NHG6 NHM6:NHO6 NHU6:NHW6 NIC6:NIE6 NIK6:NIM6 NIS6:NIU6 NJA6:NJC6 NJI6:NJK6 NJQ6:NJS6 NJY6:NKA6 NKG6:NKI6 NKO6:NKQ6 NKW6:NKY6 NLE6:NLG6 NLM6:NLO6 NLU6:NLW6 NMC6:NME6 NMK6:NMM6 NMS6:NMU6 NNA6:NNC6 NNI6:NNK6 NNQ6:NNS6 NNY6:NOA6 NOG6:NOI6 NOO6:NOQ6 NOW6:NOY6 NPE6:NPG6 NPM6:NPO6 NPU6:NPW6 NQC6:NQE6 NQK6:NQM6 NQS6:NQU6 NRA6:NRC6 NRI6:NRK6 NRQ6:NRS6 NRY6:NSA6 NSG6:NSI6 NSO6:NSQ6 NSW6:NSY6 NTE6:NTG6 NTM6:NTO6 NTU6:NTW6 NUC6:NUE6 NUK6:NUM6 NUS6:NUU6 NVA6:NVC6 NVI6:NVK6 NVQ6:NVS6 NVY6:NWA6 NWG6:NWI6 NWO6:NWQ6 NWW6:NWY6 NXE6:NXG6 NXM6:NXO6 NXU6:NXW6 NYC6:NYE6 NYK6:NYM6 NYS6:NYU6 NZA6:NZC6 NZI6:NZK6 NZQ6:NZS6 NZY6:OAA6 OAG6:OAI6 OAO6:OAQ6 OAW6:OAY6 OBE6:OBG6 OBM6:OBO6 OBU6:OBW6 OCC6:OCE6 OCK6:OCM6 OCS6:OCU6 ODA6:ODC6 ODI6:ODK6 ODQ6:ODS6 ODY6:OEA6 OEG6:OEI6 OEO6:OEQ6 OEW6:OEY6 OFE6:OFG6 OFM6:OFO6 OFU6:OFW6 OGC6:OGE6 OGK6:OGM6 OGS6:OGU6 OHA6:OHC6 OHI6:OHK6 OHQ6:OHS6 OHY6:OIA6 OIG6:OII6 OIO6:OIQ6 OIW6:OIY6 OJE6:OJG6 OJM6:OJO6 OJU6:OJW6 OKC6:OKE6 OKK6:OKM6 OKS6:OKU6 OLA6:OLC6 OLI6:OLK6 OLQ6:OLS6 OLY6:OMA6 OMG6:OMI6 OMO6:OMQ6 OMW6:OMY6 ONE6:ONG6 ONM6:ONO6 ONU6:ONW6 OOC6:OOE6 OOK6:OOM6 OOS6:OOU6 OPA6:OPC6 OPI6:OPK6 OPQ6:OPS6 OPY6:OQA6 OQG6:OQI6 OQO6:OQQ6 OQW6:OQY6 ORE6:ORG6 ORM6:ORO6 ORU6:ORW6 OSC6:OSE6 OSK6:OSM6 OSS6:OSU6 OTA6:OTC6 OTI6:OTK6 OTQ6:OTS6 OTY6:OUA6 OUG6:OUI6 OUO6:OUQ6 OUW6:OUY6 OVE6:OVG6 OVM6:OVO6 OVU6:OVW6 OWC6:OWE6 OWK6:OWM6 OWS6:OWU6 OXA6:OXC6 OXI6:OXK6 OXQ6:OXS6 OXY6:OYA6 OYG6:OYI6 OYO6:OYQ6 OYW6:OYY6 OZE6:OZG6 OZM6:OZO6 OZU6:OZW6 PAC6:PAE6 PAK6:PAM6 PAS6:PAU6 PBA6:PBC6 PBI6:PBK6 PBQ6:PBS6 PBY6:PCA6 PCG6:PCI6 PCO6:PCQ6 PCW6:PCY6 PDE6:PDG6 PDM6:PDO6 PDU6:PDW6 PEC6:PEE6 PEK6:PEM6 PES6:PEU6 PFA6:PFC6 PFI6:PFK6 PFQ6:PFS6 PFY6:PGA6 PGG6:PGI6 PGO6:PGQ6 PGW6:PGY6 PHE6:PHG6 PHM6:PHO6 PHU6:PHW6 PIC6:PIE6 PIK6:PIM6 PIS6:PIU6 PJA6:PJC6 PJI6:PJK6 PJQ6:PJS6 PJY6:PKA6 PKG6:PKI6 PKO6:PKQ6 PKW6:PKY6 PLE6:PLG6 PLM6:PLO6 PLU6:PLW6 PMC6:PME6 PMK6:PMM6 PMS6:PMU6 PNA6:PNC6 PNI6:PNK6 PNQ6:PNS6 PNY6:POA6 POG6:POI6 POO6:POQ6 POW6:POY6 PPE6:PPG6 PPM6:PPO6 PPU6:PPW6 PQC6:PQE6 PQK6:PQM6 PQS6:PQU6 PRA6:PRC6 PRI6:PRK6 PRQ6:PRS6 PRY6:PSA6 PSG6:PSI6 PSO6:PSQ6 PSW6:PSY6 PTE6:PTG6 PTM6:PTO6 PTU6:PTW6 PUC6:PUE6 PUK6:PUM6 PUS6:PUU6 PVA6:PVC6 PVI6:PVK6 PVQ6:PVS6 PVY6:PWA6 PWG6:PWI6 PWO6:PWQ6 PWW6:PWY6 PXE6:PXG6 PXM6:PXO6 PXU6:PXW6 PYC6:PYE6 PYK6:PYM6 PYS6:PYU6 PZA6:PZC6 PZI6:PZK6 PZQ6:PZS6 PZY6:QAA6 QAG6:QAI6 QAO6:QAQ6 QAW6:QAY6 QBE6:QBG6 QBM6:QBO6 QBU6:QBW6 QCC6:QCE6 QCK6:QCM6 QCS6:QCU6 QDA6:QDC6 QDI6:QDK6 QDQ6:QDS6 QDY6:QEA6 QEG6:QEI6 QEO6:QEQ6 QEW6:QEY6 QFE6:QFG6 QFM6:QFO6 QFU6:QFW6 QGC6:QGE6 QGK6:QGM6 QGS6:QGU6 QHA6:QHC6 QHI6:QHK6 QHQ6:QHS6 QHY6:QIA6 QIG6:QII6 QIO6:QIQ6 QIW6:QIY6 QJE6:QJG6 QJM6:QJO6 QJU6:QJW6 QKC6:QKE6 QKK6:QKM6 QKS6:QKU6 QLA6:QLC6 QLI6:QLK6 QLQ6:QLS6 QLY6:QMA6 QMG6:QMI6 QMO6:QMQ6 QMW6:QMY6 QNE6:QNG6 QNM6:QNO6 QNU6:QNW6 QOC6:QOE6 QOK6:QOM6 QOS6:QOU6 QPA6:QPC6 QPI6:QPK6 QPQ6:QPS6 QPY6:QQA6 QQG6:QQI6 QQO6:QQQ6 QQW6:QQY6 QRE6:QRG6 QRM6:QRO6 QRU6:QRW6 QSC6:QSE6 QSK6:QSM6 QSS6:QSU6 QTA6:QTC6 QTI6:QTK6 QTQ6:QTS6 QTY6:QUA6 QUG6:QUI6 QUO6:QUQ6 QUW6:QUY6 QVE6:QVG6 QVM6:QVO6 QVU6:QVW6 QWC6:QWE6 QWK6:QWM6 QWS6:QWU6 QXA6:QXC6 QXI6:QXK6 QXQ6:QXS6 QXY6:QYA6 QYG6:QYI6 QYO6:QYQ6 QYW6:QYY6 QZE6:QZG6 QZM6:QZO6 QZU6:QZW6 RAC6:RAE6 RAK6:RAM6 RAS6:RAU6 RBA6:RBC6 RBI6:RBK6 RBQ6:RBS6 RBY6:RCA6 RCG6:RCI6 RCO6:RCQ6 RCW6:RCY6 RDE6:RDG6 RDM6:RDO6 RDU6:RDW6 REC6:REE6 REK6:REM6 RES6:REU6 RFA6:RFC6 RFI6:RFK6 RFQ6:RFS6 RFY6:RGA6 RGG6:RGI6 RGO6:RGQ6 RGW6:RGY6 RHE6:RHG6 RHM6:RHO6 RHU6:RHW6 RIC6:RIE6 RIK6:RIM6 RIS6:RIU6 RJA6:RJC6 RJI6:RJK6 RJQ6:RJS6 RJY6:RKA6 RKG6:RKI6 RKO6:RKQ6 RKW6:RKY6 RLE6:RLG6 RLM6:RLO6 RLU6:RLW6 RMC6:RME6 RMK6:RMM6 RMS6:RMU6 RNA6:RNC6 RNI6:RNK6 RNQ6:RNS6 RNY6:ROA6 ROG6:ROI6 ROO6:ROQ6 ROW6:ROY6 RPE6:RPG6 RPM6:RPO6 RPU6:RPW6 RQC6:RQE6 RQK6:RQM6 RQS6:RQU6 RRA6:RRC6 RRI6:RRK6 RRQ6:RRS6 RRY6:RSA6 RSG6:RSI6 RSO6:RSQ6 RSW6:RSY6 RTE6:RTG6 RTM6:RTO6 RTU6:RTW6 RUC6:RUE6 RUK6:RUM6 RUS6:RUU6 RVA6:RVC6 RVI6:RVK6 RVQ6:RVS6 RVY6:RWA6 RWG6:RWI6 RWO6:RWQ6 RWW6:RWY6 RXE6:RXG6 RXM6:RXO6 RXU6:RXW6 RYC6:RYE6 RYK6:RYM6 RYS6:RYU6 RZA6:RZC6 RZI6:RZK6 RZQ6:RZS6 RZY6:SAA6 SAG6:SAI6 SAO6:SAQ6 SAW6:SAY6 SBE6:SBG6 SBM6:SBO6 SBU6:SBW6 SCC6:SCE6 SCK6:SCM6 SCS6:SCU6 SDA6:SDC6 SDI6:SDK6 SDQ6:SDS6 SDY6:SEA6 SEG6:SEI6 SEO6:SEQ6 SEW6:SEY6 SFE6:SFG6 SFM6:SFO6 SFU6:SFW6 SGC6:SGE6 SGK6:SGM6 SGS6:SGU6 SHA6:SHC6 SHI6:SHK6 SHQ6:SHS6 SHY6:SIA6 SIG6:SII6 SIO6:SIQ6 SIW6:SIY6 SJE6:SJG6 SJM6:SJO6 SJU6:SJW6 SKC6:SKE6 SKK6:SKM6 SKS6:SKU6 SLA6:SLC6 SLI6:SLK6 SLQ6:SLS6 SLY6:SMA6 SMG6:SMI6 SMO6:SMQ6 SMW6:SMY6 SNE6:SNG6 SNM6:SNO6 SNU6:SNW6 SOC6:SOE6 SOK6:SOM6 SOS6:SOU6 SPA6:SPC6 SPI6:SPK6 SPQ6:SPS6 SPY6:SQA6 SQG6:SQI6 SQO6:SQQ6 SQW6:SQY6 SRE6:SRG6 SRM6:SRO6 SRU6:SRW6 SSC6:SSE6 SSK6:SSM6 SSS6:SSU6 STA6:STC6 STI6:STK6 STQ6:STS6 STY6:SUA6 SUG6:SUI6 SUO6:SUQ6 SUW6:SUY6 SVE6:SVG6 SVM6:SVO6 SVU6:SVW6 SWC6:SWE6 SWK6:SWM6 SWS6:SWU6 SXA6:SXC6 SXI6:SXK6 SXQ6:SXS6 SXY6:SYA6 SYG6:SYI6 SYO6:SYQ6 SYW6:SYY6 SZE6:SZG6 SZM6:SZO6 SZU6:SZW6 TAC6:TAE6 TAK6:TAM6 TAS6:TAU6 TBA6:TBC6 TBI6:TBK6 TBQ6:TBS6 TBY6:TCA6 TCG6:TCI6 TCO6:TCQ6 TCW6:TCY6 TDE6:TDG6 TDM6:TDO6 TDU6:TDW6 TEC6:TEE6 TEK6:TEM6 TES6:TEU6 TFA6:TFC6 TFI6:TFK6 TFQ6:TFS6 TFY6:TGA6 TGG6:TGI6 TGO6:TGQ6 TGW6:TGY6 THE6:THG6 THM6:THO6 THU6:THW6 TIC6:TIE6 TIK6:TIM6 TIS6:TIU6 TJA6:TJC6 TJI6:TJK6 TJQ6:TJS6 TJY6:TKA6 TKG6:TKI6 TKO6:TKQ6 TKW6:TKY6 TLE6:TLG6 TLM6:TLO6 TLU6:TLW6 TMC6:TME6 TMK6:TMM6 TMS6:TMU6 TNA6:TNC6 TNI6:TNK6 TNQ6:TNS6 TNY6:TOA6 TOG6:TOI6 TOO6:TOQ6 TOW6:TOY6 TPE6:TPG6 TPM6:TPO6 TPU6:TPW6 TQC6:TQE6 TQK6:TQM6 TQS6:TQU6 TRA6:TRC6 TRI6:TRK6 TRQ6:TRS6 TRY6:TSA6 TSG6:TSI6 TSO6:TSQ6 TSW6:TSY6 TTE6:TTG6 TTM6:TTO6 TTU6:TTW6 TUC6:TUE6 TUK6:TUM6 TUS6:TUU6 TVA6:TVC6 TVI6:TVK6 TVQ6:TVS6 TVY6:TWA6 TWG6:TWI6 TWO6:TWQ6 TWW6:TWY6 TXE6:TXG6 TXM6:TXO6 TXU6:TXW6 TYC6:TYE6 TYK6:TYM6 TYS6:TYU6 TZA6:TZC6 TZI6:TZK6 TZQ6:TZS6 TZY6:UAA6 UAG6:UAI6 UAO6:UAQ6 UAW6:UAY6 UBE6:UBG6 UBM6:UBO6 UBU6:UBW6 UCC6:UCE6 UCK6:UCM6 UCS6:UCU6 UDA6:UDC6 UDI6:UDK6 UDQ6:UDS6 UDY6:UEA6 UEG6:UEI6 UEO6:UEQ6 UEW6:UEY6 UFE6:UFG6 UFM6:UFO6 UFU6:UFW6 UGC6:UGE6 UGK6:UGM6 UGS6:UGU6 UHA6:UHC6 UHI6:UHK6 UHQ6:UHS6 UHY6:UIA6 UIG6:UII6 UIO6:UIQ6 UIW6:UIY6 UJE6:UJG6 UJM6:UJO6 UJU6:UJW6 UKC6:UKE6 UKK6:UKM6 UKS6:UKU6 ULA6:ULC6 ULI6:ULK6 ULQ6:ULS6 ULY6:UMA6 UMG6:UMI6 UMO6:UMQ6 UMW6:UMY6 UNE6:UNG6 UNM6:UNO6 UNU6:UNW6 UOC6:UOE6 UOK6:UOM6 UOS6:UOU6 UPA6:UPC6 UPI6:UPK6 UPQ6:UPS6 UPY6:UQA6 UQG6:UQI6 UQO6:UQQ6 UQW6:UQY6 URE6:URG6 URM6:URO6 URU6:URW6 USC6:USE6 USK6:USM6 USS6:USU6 UTA6:UTC6 UTI6:UTK6 UTQ6:UTS6 UTY6:UUA6 UUG6:UUI6 UUO6:UUQ6 UUW6:UUY6 UVE6:UVG6 UVM6:UVO6 UVU6:UVW6 UWC6:UWE6 UWK6:UWM6 UWS6:UWU6 UXA6:UXC6 UXI6:UXK6 UXQ6:UXS6 UXY6:UYA6 UYG6:UYI6 UYO6:UYQ6 UYW6:UYY6 UZE6:UZG6 UZM6:UZO6 UZU6:UZW6 VAC6:VAE6 VAK6:VAM6 VAS6:VAU6 VBA6:VBC6 VBI6:VBK6 VBQ6:VBS6 VBY6:VCA6 VCG6:VCI6 VCO6:VCQ6 VCW6:VCY6 VDE6:VDG6 VDM6:VDO6 VDU6:VDW6 VEC6:VEE6 VEK6:VEM6 VES6:VEU6 VFA6:VFC6 VFI6:VFK6 VFQ6:VFS6 VFY6:VGA6 VGG6:VGI6 VGO6:VGQ6 VGW6:VGY6 VHE6:VHG6 VHM6:VHO6 VHU6:VHW6 VIC6:VIE6 VIK6:VIM6 VIS6:VIU6 VJA6:VJC6 VJI6:VJK6 VJQ6:VJS6 VJY6:VKA6 VKG6:VKI6 VKO6:VKQ6 VKW6:VKY6 VLE6:VLG6 VLM6:VLO6 VLU6:VLW6 VMC6:VME6 VMK6:VMM6 VMS6:VMU6 VNA6:VNC6 VNI6:VNK6 VNQ6:VNS6 VNY6:VOA6 VOG6:VOI6 VOO6:VOQ6 VOW6:VOY6 VPE6:VPG6 VPM6:VPO6 VPU6:VPW6 VQC6:VQE6 VQK6:VQM6 VQS6:VQU6 VRA6:VRC6 VRI6:VRK6 VRQ6:VRS6 VRY6:VSA6 VSG6:VSI6 VSO6:VSQ6 VSW6:VSY6 VTE6:VTG6 VTM6:VTO6 VTU6:VTW6 VUC6:VUE6 VUK6:VUM6 VUS6:VUU6 VVA6:VVC6 VVI6:VVK6 VVQ6:VVS6 VVY6:VWA6 VWG6:VWI6 VWO6:VWQ6 VWW6:VWY6 VXE6:VXG6 VXM6:VXO6 VXU6:VXW6 VYC6:VYE6 VYK6:VYM6 VYS6:VYU6 VZA6:VZC6 VZI6:VZK6 VZQ6:VZS6 VZY6:WAA6 WAG6:WAI6 WAO6:WAQ6 WAW6:WAY6 WBE6:WBG6 WBM6:WBO6 WBU6:WBW6 WCC6:WCE6 WCK6:WCM6 WCS6:WCU6 WDA6:WDC6 WDI6:WDK6 WDQ6:WDS6 WDY6:WEA6 WEG6:WEI6 WEO6:WEQ6 WEW6:WEY6 WFE6:WFG6 WFM6:WFO6 WFU6:WFW6 WGC6:WGE6 WGK6:WGM6 WGS6:WGU6 WHA6:WHC6 WHI6:WHK6 WHQ6:WHS6 WHY6:WIA6 WIG6:WII6 WIO6:WIQ6 WIW6:WIY6 WJE6:WJG6 WJM6:WJO6 WJU6:WJW6 WKC6:WKE6 WKK6:WKM6 WKS6:WKU6 WLA6:WLC6 WLI6:WLK6 WLQ6:WLS6 WLY6:WMA6 WMG6:WMI6 WMO6:WMQ6 WMW6:WMY6 WNE6:WNG6 WNM6:WNO6 WNU6:WNW6 WOC6:WOE6 WOK6:WOM6 WOS6:WOU6 WPA6:WPC6 WPI6:WPK6 WPQ6:WPS6 WPY6:WQA6 WQG6:WQI6 WQO6:WQQ6 WQW6:WQY6 WRE6:WRG6 WRM6:WRO6 WRU6:WRW6 WSC6:WSE6 WSK6:WSM6 WSS6:WSU6 WTA6:WTC6 WTI6:WTK6 WTQ6:WTS6 WTY6:WUA6 WUG6:WUI6 WUO6:WUQ6 WUW6:WUY6 WVE6:WVG6 WVM6:WVO6 WVU6:WVW6 WWC6:WWE6 WWK6:WWM6 WWS6:WWU6 WXA6:WXC6 WXI6:WXK6 WXQ6:WXS6 WXY6:WYA6 WYG6:WYI6 WYO6:WYQ6 WYW6:WYY6 WZE6:WZG6 WZM6:WZO6 WZU6:WZW6 XAC6:XAE6 XAK6:XAM6 XAS6:XAU6 XBA6:XBC6 XBI6:XBK6 XBQ6:XBS6 XBY6:XCA6 XCG6:XCI6 XCO6:XCQ6 XCW6:XCY6 XDE6:XDG6 XDM6:XDO6 XDU6:XDW6 XEC6:XEE6 XEK6:XEM6 XES6:XEU6 XFA6:XFD6 E6:G6" name="Intervalo6"/>
    <protectedRange sqref="H5 Q6 Y6 AG6 AO6 AW6 BE6 BM6 BU6 CC6 CK6 CS6 DA6 DI6 DQ6 DY6 EG6 EO6 EW6 FE6 FM6 FU6 GC6 GK6 GS6 HA6 HI6 HQ6 HY6 IG6 IO6 IW6 JE6 JM6 JU6 KC6 KK6 KS6 LA6 LI6 LQ6 LY6 MG6 MO6 MW6 NE6 NM6 NU6 OC6 OK6 OS6 PA6 PI6 PQ6 PY6 QG6 QO6 QW6 RE6 RM6 RU6 SC6 SK6 SS6 TA6 TI6 TQ6 TY6 UG6 UO6 UW6 VE6 VM6 VU6 WC6 WK6 WS6 XA6 XI6 XQ6 XY6 YG6 YO6 YW6 ZE6 ZM6 ZU6 AAC6 AAK6 AAS6 ABA6 ABI6 ABQ6 ABY6 ACG6 ACO6 ACW6 ADE6 ADM6 ADU6 AEC6 AEK6 AES6 AFA6 AFI6 AFQ6 AFY6 AGG6 AGO6 AGW6 AHE6 AHM6 AHU6 AIC6 AIK6 AIS6 AJA6 AJI6 AJQ6 AJY6 AKG6 AKO6 AKW6 ALE6 ALM6 ALU6 AMC6 AMK6 AMS6 ANA6 ANI6 ANQ6 ANY6 AOG6 AOO6 AOW6 APE6 APM6 APU6 AQC6 AQK6 AQS6 ARA6 ARI6 ARQ6 ARY6 ASG6 ASO6 ASW6 ATE6 ATM6 ATU6 AUC6 AUK6 AUS6 AVA6 AVI6 AVQ6 AVY6 AWG6 AWO6 AWW6 AXE6 AXM6 AXU6 AYC6 AYK6 AYS6 AZA6 AZI6 AZQ6 AZY6 BAG6 BAO6 BAW6 BBE6 BBM6 BBU6 BCC6 BCK6 BCS6 BDA6 BDI6 BDQ6 BDY6 BEG6 BEO6 BEW6 BFE6 BFM6 BFU6 BGC6 BGK6 BGS6 BHA6 BHI6 BHQ6 BHY6 BIG6 BIO6 BIW6 BJE6 BJM6 BJU6 BKC6 BKK6 BKS6 BLA6 BLI6 BLQ6 BLY6 BMG6 BMO6 BMW6 BNE6 BNM6 BNU6 BOC6 BOK6 BOS6 BPA6 BPI6 BPQ6 BPY6 BQG6 BQO6 BQW6 BRE6 BRM6 BRU6 BSC6 BSK6 BSS6 BTA6 BTI6 BTQ6 BTY6 BUG6 BUO6 BUW6 BVE6 BVM6 BVU6 BWC6 BWK6 BWS6 BXA6 BXI6 BXQ6 BXY6 BYG6 BYO6 BYW6 BZE6 BZM6 BZU6 CAC6 CAK6 CAS6 CBA6 CBI6 CBQ6 CBY6 CCG6 CCO6 CCW6 CDE6 CDM6 CDU6 CEC6 CEK6 CES6 CFA6 CFI6 CFQ6 CFY6 CGG6 CGO6 CGW6 CHE6 CHM6 CHU6 CIC6 CIK6 CIS6 CJA6 CJI6 CJQ6 CJY6 CKG6 CKO6 CKW6 CLE6 CLM6 CLU6 CMC6 CMK6 CMS6 CNA6 CNI6 CNQ6 CNY6 COG6 COO6 COW6 CPE6 CPM6 CPU6 CQC6 CQK6 CQS6 CRA6 CRI6 CRQ6 CRY6 CSG6 CSO6 CSW6 CTE6 CTM6 CTU6 CUC6 CUK6 CUS6 CVA6 CVI6 CVQ6 CVY6 CWG6 CWO6 CWW6 CXE6 CXM6 CXU6 CYC6 CYK6 CYS6 CZA6 CZI6 CZQ6 CZY6 DAG6 DAO6 DAW6 DBE6 DBM6 DBU6 DCC6 DCK6 DCS6 DDA6 DDI6 DDQ6 DDY6 DEG6 DEO6 DEW6 DFE6 DFM6 DFU6 DGC6 DGK6 DGS6 DHA6 DHI6 DHQ6 DHY6 DIG6 DIO6 DIW6 DJE6 DJM6 DJU6 DKC6 DKK6 DKS6 DLA6 DLI6 DLQ6 DLY6 DMG6 DMO6 DMW6 DNE6 DNM6 DNU6 DOC6 DOK6 DOS6 DPA6 DPI6 DPQ6 DPY6 DQG6 DQO6 DQW6 DRE6 DRM6 DRU6 DSC6 DSK6 DSS6 DTA6 DTI6 DTQ6 DTY6 DUG6 DUO6 DUW6 DVE6 DVM6 DVU6 DWC6 DWK6 DWS6 DXA6 DXI6 DXQ6 DXY6 DYG6 DYO6 DYW6 DZE6 DZM6 DZU6 EAC6 EAK6 EAS6 EBA6 EBI6 EBQ6 EBY6 ECG6 ECO6 ECW6 EDE6 EDM6 EDU6 EEC6 EEK6 EES6 EFA6 EFI6 EFQ6 EFY6 EGG6 EGO6 EGW6 EHE6 EHM6 EHU6 EIC6 EIK6 EIS6 EJA6 EJI6 EJQ6 EJY6 EKG6 EKO6 EKW6 ELE6 ELM6 ELU6 EMC6 EMK6 EMS6 ENA6 ENI6 ENQ6 ENY6 EOG6 EOO6 EOW6 EPE6 EPM6 EPU6 EQC6 EQK6 EQS6 ERA6 ERI6 ERQ6 ERY6 ESG6 ESO6 ESW6 ETE6 ETM6 ETU6 EUC6 EUK6 EUS6 EVA6 EVI6 EVQ6 EVY6 EWG6 EWO6 EWW6 EXE6 EXM6 EXU6 EYC6 EYK6 EYS6 EZA6 EZI6 EZQ6 EZY6 FAG6 FAO6 FAW6 FBE6 FBM6 FBU6 FCC6 FCK6 FCS6 FDA6 FDI6 FDQ6 FDY6 FEG6 FEO6 FEW6 FFE6 FFM6 FFU6 FGC6 FGK6 FGS6 FHA6 FHI6 FHQ6 FHY6 FIG6 FIO6 FIW6 FJE6 FJM6 FJU6 FKC6 FKK6 FKS6 FLA6 FLI6 FLQ6 FLY6 FMG6 FMO6 FMW6 FNE6 FNM6 FNU6 FOC6 FOK6 FOS6 FPA6 FPI6 FPQ6 FPY6 FQG6 FQO6 FQW6 FRE6 FRM6 FRU6 FSC6 FSK6 FSS6 FTA6 FTI6 FTQ6 FTY6 FUG6 FUO6 FUW6 FVE6 FVM6 FVU6 FWC6 FWK6 FWS6 FXA6 FXI6 FXQ6 FXY6 FYG6 FYO6 FYW6 FZE6 FZM6 FZU6 GAC6 GAK6 GAS6 GBA6 GBI6 GBQ6 GBY6 GCG6 GCO6 GCW6 GDE6 GDM6 GDU6 GEC6 GEK6 GES6 GFA6 GFI6 GFQ6 GFY6 GGG6 GGO6 GGW6 GHE6 GHM6 GHU6 GIC6 GIK6 GIS6 GJA6 GJI6 GJQ6 GJY6 GKG6 GKO6 GKW6 GLE6 GLM6 GLU6 GMC6 GMK6 GMS6 GNA6 GNI6 GNQ6 GNY6 GOG6 GOO6 GOW6 GPE6 GPM6 GPU6 GQC6 GQK6 GQS6 GRA6 GRI6 GRQ6 GRY6 GSG6 GSO6 GSW6 GTE6 GTM6 GTU6 GUC6 GUK6 GUS6 GVA6 GVI6 GVQ6 GVY6 GWG6 GWO6 GWW6 GXE6 GXM6 GXU6 GYC6 GYK6 GYS6 GZA6 GZI6 GZQ6 GZY6 HAG6 HAO6 HAW6 HBE6 HBM6 HBU6 HCC6 HCK6 HCS6 HDA6 HDI6 HDQ6 HDY6 HEG6 HEO6 HEW6 HFE6 HFM6 HFU6 HGC6 HGK6 HGS6 HHA6 HHI6 HHQ6 HHY6 HIG6 HIO6 HIW6 HJE6 HJM6 HJU6 HKC6 HKK6 HKS6 HLA6 HLI6 HLQ6 HLY6 HMG6 HMO6 HMW6 HNE6 HNM6 HNU6 HOC6 HOK6 HOS6 HPA6 HPI6 HPQ6 HPY6 HQG6 HQO6 HQW6 HRE6 HRM6 HRU6 HSC6 HSK6 HSS6 HTA6 HTI6 HTQ6 HTY6 HUG6 HUO6 HUW6 HVE6 HVM6 HVU6 HWC6 HWK6 HWS6 HXA6 HXI6 HXQ6 HXY6 HYG6 HYO6 HYW6 HZE6 HZM6 HZU6 IAC6 IAK6 IAS6 IBA6 IBI6 IBQ6 IBY6 ICG6 ICO6 ICW6 IDE6 IDM6 IDU6 IEC6 IEK6 IES6 IFA6 IFI6 IFQ6 IFY6 IGG6 IGO6 IGW6 IHE6 IHM6 IHU6 IIC6 IIK6 IIS6 IJA6 IJI6 IJQ6 IJY6 IKG6 IKO6 IKW6 ILE6 ILM6 ILU6 IMC6 IMK6 IMS6 INA6 INI6 INQ6 INY6 IOG6 IOO6 IOW6 IPE6 IPM6 IPU6 IQC6 IQK6 IQS6 IRA6 IRI6 IRQ6 IRY6 ISG6 ISO6 ISW6 ITE6 ITM6 ITU6 IUC6 IUK6 IUS6 IVA6 IVI6 IVQ6 IVY6 IWG6 IWO6 IWW6 IXE6 IXM6 IXU6 IYC6 IYK6 IYS6 IZA6 IZI6 IZQ6 IZY6 JAG6 JAO6 JAW6 JBE6 JBM6 JBU6 JCC6 JCK6 JCS6 JDA6 JDI6 JDQ6 JDY6 JEG6 JEO6 JEW6 JFE6 JFM6 JFU6 JGC6 JGK6 JGS6 JHA6 JHI6 JHQ6 JHY6 JIG6 JIO6 JIW6 JJE6 JJM6 JJU6 JKC6 JKK6 JKS6 JLA6 JLI6 JLQ6 JLY6 JMG6 JMO6 JMW6 JNE6 JNM6 JNU6 JOC6 JOK6 JOS6 JPA6 JPI6 JPQ6 JPY6 JQG6 JQO6 JQW6 JRE6 JRM6 JRU6 JSC6 JSK6 JSS6 JTA6 JTI6 JTQ6 JTY6 JUG6 JUO6 JUW6 JVE6 JVM6 JVU6 JWC6 JWK6 JWS6 JXA6 JXI6 JXQ6 JXY6 JYG6 JYO6 JYW6 JZE6 JZM6 JZU6 KAC6 KAK6 KAS6 KBA6 KBI6 KBQ6 KBY6 KCG6 KCO6 KCW6 KDE6 KDM6 KDU6 KEC6 KEK6 KES6 KFA6 KFI6 KFQ6 KFY6 KGG6 KGO6 KGW6 KHE6 KHM6 KHU6 KIC6 KIK6 KIS6 KJA6 KJI6 KJQ6 KJY6 KKG6 KKO6 KKW6 KLE6 KLM6 KLU6 KMC6 KMK6 KMS6 KNA6 KNI6 KNQ6 KNY6 KOG6 KOO6 KOW6 KPE6 KPM6 KPU6 KQC6 KQK6 KQS6 KRA6 KRI6 KRQ6 KRY6 KSG6 KSO6 KSW6 KTE6 KTM6 KTU6 KUC6 KUK6 KUS6 KVA6 KVI6 KVQ6 KVY6 KWG6 KWO6 KWW6 KXE6 KXM6 KXU6 KYC6 KYK6 KYS6 KZA6 KZI6 KZQ6 KZY6 LAG6 LAO6 LAW6 LBE6 LBM6 LBU6 LCC6 LCK6 LCS6 LDA6 LDI6 LDQ6 LDY6 LEG6 LEO6 LEW6 LFE6 LFM6 LFU6 LGC6 LGK6 LGS6 LHA6 LHI6 LHQ6 LHY6 LIG6 LIO6 LIW6 LJE6 LJM6 LJU6 LKC6 LKK6 LKS6 LLA6 LLI6 LLQ6 LLY6 LMG6 LMO6 LMW6 LNE6 LNM6 LNU6 LOC6 LOK6 LOS6 LPA6 LPI6 LPQ6 LPY6 LQG6 LQO6 LQW6 LRE6 LRM6 LRU6 LSC6 LSK6 LSS6 LTA6 LTI6 LTQ6 LTY6 LUG6 LUO6 LUW6 LVE6 LVM6 LVU6 LWC6 LWK6 LWS6 LXA6 LXI6 LXQ6 LXY6 LYG6 LYO6 LYW6 LZE6 LZM6 LZU6 MAC6 MAK6 MAS6 MBA6 MBI6 MBQ6 MBY6 MCG6 MCO6 MCW6 MDE6 MDM6 MDU6 MEC6 MEK6 MES6 MFA6 MFI6 MFQ6 MFY6 MGG6 MGO6 MGW6 MHE6 MHM6 MHU6 MIC6 MIK6 MIS6 MJA6 MJI6 MJQ6 MJY6 MKG6 MKO6 MKW6 MLE6 MLM6 MLU6 MMC6 MMK6 MMS6 MNA6 MNI6 MNQ6 MNY6 MOG6 MOO6 MOW6 MPE6 MPM6 MPU6 MQC6 MQK6 MQS6 MRA6 MRI6 MRQ6 MRY6 MSG6 MSO6 MSW6 MTE6 MTM6 MTU6 MUC6 MUK6 MUS6 MVA6 MVI6 MVQ6 MVY6 MWG6 MWO6 MWW6 MXE6 MXM6 MXU6 MYC6 MYK6 MYS6 MZA6 MZI6 MZQ6 MZY6 NAG6 NAO6 NAW6 NBE6 NBM6 NBU6 NCC6 NCK6 NCS6 NDA6 NDI6 NDQ6 NDY6 NEG6 NEO6 NEW6 NFE6 NFM6 NFU6 NGC6 NGK6 NGS6 NHA6 NHI6 NHQ6 NHY6 NIG6 NIO6 NIW6 NJE6 NJM6 NJU6 NKC6 NKK6 NKS6 NLA6 NLI6 NLQ6 NLY6 NMG6 NMO6 NMW6 NNE6 NNM6 NNU6 NOC6 NOK6 NOS6 NPA6 NPI6 NPQ6 NPY6 NQG6 NQO6 NQW6 NRE6 NRM6 NRU6 NSC6 NSK6 NSS6 NTA6 NTI6 NTQ6 NTY6 NUG6 NUO6 NUW6 NVE6 NVM6 NVU6 NWC6 NWK6 NWS6 NXA6 NXI6 NXQ6 NXY6 NYG6 NYO6 NYW6 NZE6 NZM6 NZU6 OAC6 OAK6 OAS6 OBA6 OBI6 OBQ6 OBY6 OCG6 OCO6 OCW6 ODE6 ODM6 ODU6 OEC6 OEK6 OES6 OFA6 OFI6 OFQ6 OFY6 OGG6 OGO6 OGW6 OHE6 OHM6 OHU6 OIC6 OIK6 OIS6 OJA6 OJI6 OJQ6 OJY6 OKG6 OKO6 OKW6 OLE6 OLM6 OLU6 OMC6 OMK6 OMS6 ONA6 ONI6 ONQ6 ONY6 OOG6 OOO6 OOW6 OPE6 OPM6 OPU6 OQC6 OQK6 OQS6 ORA6 ORI6 ORQ6 ORY6 OSG6 OSO6 OSW6 OTE6 OTM6 OTU6 OUC6 OUK6 OUS6 OVA6 OVI6 OVQ6 OVY6 OWG6 OWO6 OWW6 OXE6 OXM6 OXU6 OYC6 OYK6 OYS6 OZA6 OZI6 OZQ6 OZY6 PAG6 PAO6 PAW6 PBE6 PBM6 PBU6 PCC6 PCK6 PCS6 PDA6 PDI6 PDQ6 PDY6 PEG6 PEO6 PEW6 PFE6 PFM6 PFU6 PGC6 PGK6 PGS6 PHA6 PHI6 PHQ6 PHY6 PIG6 PIO6 PIW6 PJE6 PJM6 PJU6 PKC6 PKK6 PKS6 PLA6 PLI6 PLQ6 PLY6 PMG6 PMO6 PMW6 PNE6 PNM6 PNU6 POC6 POK6 POS6 PPA6 PPI6 PPQ6 PPY6 PQG6 PQO6 PQW6 PRE6 PRM6 PRU6 PSC6 PSK6 PSS6 PTA6 PTI6 PTQ6 PTY6 PUG6 PUO6 PUW6 PVE6 PVM6 PVU6 PWC6 PWK6 PWS6 PXA6 PXI6 PXQ6 PXY6 PYG6 PYO6 PYW6 PZE6 PZM6 PZU6 QAC6 QAK6 QAS6 QBA6 QBI6 QBQ6 QBY6 QCG6 QCO6 QCW6 QDE6 QDM6 QDU6 QEC6 QEK6 QES6 QFA6 QFI6 QFQ6 QFY6 QGG6 QGO6 QGW6 QHE6 QHM6 QHU6 QIC6 QIK6 QIS6 QJA6 QJI6 QJQ6 QJY6 QKG6 QKO6 QKW6 QLE6 QLM6 QLU6 QMC6 QMK6 QMS6 QNA6 QNI6 QNQ6 QNY6 QOG6 QOO6 QOW6 QPE6 QPM6 QPU6 QQC6 QQK6 QQS6 QRA6 QRI6 QRQ6 QRY6 QSG6 QSO6 QSW6 QTE6 QTM6 QTU6 QUC6 QUK6 QUS6 QVA6 QVI6 QVQ6 QVY6 QWG6 QWO6 QWW6 QXE6 QXM6 QXU6 QYC6 QYK6 QYS6 QZA6 QZI6 QZQ6 QZY6 RAG6 RAO6 RAW6 RBE6 RBM6 RBU6 RCC6 RCK6 RCS6 RDA6 RDI6 RDQ6 RDY6 REG6 REO6 REW6 RFE6 RFM6 RFU6 RGC6 RGK6 RGS6 RHA6 RHI6 RHQ6 RHY6 RIG6 RIO6 RIW6 RJE6 RJM6 RJU6 RKC6 RKK6 RKS6 RLA6 RLI6 RLQ6 RLY6 RMG6 RMO6 RMW6 RNE6 RNM6 RNU6 ROC6 ROK6 ROS6 RPA6 RPI6 RPQ6 RPY6 RQG6 RQO6 RQW6 RRE6 RRM6 RRU6 RSC6 RSK6 RSS6 RTA6 RTI6 RTQ6 RTY6 RUG6 RUO6 RUW6 RVE6 RVM6 RVU6 RWC6 RWK6 RWS6 RXA6 RXI6 RXQ6 RXY6 RYG6 RYO6 RYW6 RZE6 RZM6 RZU6 SAC6 SAK6 SAS6 SBA6 SBI6 SBQ6 SBY6 SCG6 SCO6 SCW6 SDE6 SDM6 SDU6 SEC6 SEK6 SES6 SFA6 SFI6 SFQ6 SFY6 SGG6 SGO6 SGW6 SHE6 SHM6 SHU6 SIC6 SIK6 SIS6 SJA6 SJI6 SJQ6 SJY6 SKG6 SKO6 SKW6 SLE6 SLM6 SLU6 SMC6 SMK6 SMS6 SNA6 SNI6 SNQ6 SNY6 SOG6 SOO6 SOW6 SPE6 SPM6 SPU6 SQC6 SQK6 SQS6 SRA6 SRI6 SRQ6 SRY6 SSG6 SSO6 SSW6 STE6 STM6 STU6 SUC6 SUK6 SUS6 SVA6 SVI6 SVQ6 SVY6 SWG6 SWO6 SWW6 SXE6 SXM6 SXU6 SYC6 SYK6 SYS6 SZA6 SZI6 SZQ6 SZY6 TAG6 TAO6 TAW6 TBE6 TBM6 TBU6 TCC6 TCK6 TCS6 TDA6 TDI6 TDQ6 TDY6 TEG6 TEO6 TEW6 TFE6 TFM6 TFU6 TGC6 TGK6 TGS6 THA6 THI6 THQ6 THY6 TIG6 TIO6 TIW6 TJE6 TJM6 TJU6 TKC6 TKK6 TKS6 TLA6 TLI6 TLQ6 TLY6 TMG6 TMO6 TMW6 TNE6 TNM6 TNU6 TOC6 TOK6 TOS6 TPA6 TPI6 TPQ6 TPY6 TQG6 TQO6 TQW6 TRE6 TRM6 TRU6 TSC6 TSK6 TSS6 TTA6 TTI6 TTQ6 TTY6 TUG6 TUO6 TUW6 TVE6 TVM6 TVU6 TWC6 TWK6 TWS6 TXA6 TXI6 TXQ6 TXY6 TYG6 TYO6 TYW6 TZE6 TZM6 TZU6 UAC6 UAK6 UAS6 UBA6 UBI6 UBQ6 UBY6 UCG6 UCO6 UCW6 UDE6 UDM6 UDU6 UEC6 UEK6 UES6 UFA6 UFI6 UFQ6 UFY6 UGG6 UGO6 UGW6 UHE6 UHM6 UHU6 UIC6 UIK6 UIS6 UJA6 UJI6 UJQ6 UJY6 UKG6 UKO6 UKW6 ULE6 ULM6 ULU6 UMC6 UMK6 UMS6 UNA6 UNI6 UNQ6 UNY6 UOG6 UOO6 UOW6 UPE6 UPM6 UPU6 UQC6 UQK6 UQS6 URA6 URI6 URQ6 URY6 USG6 USO6 USW6 UTE6 UTM6 UTU6 UUC6 UUK6 UUS6 UVA6 UVI6 UVQ6 UVY6 UWG6 UWO6 UWW6 UXE6 UXM6 UXU6 UYC6 UYK6 UYS6 UZA6 UZI6 UZQ6 UZY6 VAG6 VAO6 VAW6 VBE6 VBM6 VBU6 VCC6 VCK6 VCS6 VDA6 VDI6 VDQ6 VDY6 VEG6 VEO6 VEW6 VFE6 VFM6 VFU6 VGC6 VGK6 VGS6 VHA6 VHI6 VHQ6 VHY6 VIG6 VIO6 VIW6 VJE6 VJM6 VJU6 VKC6 VKK6 VKS6 VLA6 VLI6 VLQ6 VLY6 VMG6 VMO6 VMW6 VNE6 VNM6 VNU6 VOC6 VOK6 VOS6 VPA6 VPI6 VPQ6 VPY6 VQG6 VQO6 VQW6 VRE6 VRM6 VRU6 VSC6 VSK6 VSS6 VTA6 VTI6 VTQ6 VTY6 VUG6 VUO6 VUW6 VVE6 VVM6 VVU6 VWC6 VWK6 VWS6 VXA6 VXI6 VXQ6 VXY6 VYG6 VYO6 VYW6 VZE6 VZM6 VZU6 WAC6 WAK6 WAS6 WBA6 WBI6 WBQ6 WBY6 WCG6 WCO6 WCW6 WDE6 WDM6 WDU6 WEC6 WEK6 WES6 WFA6 WFI6 WFQ6 WFY6 WGG6 WGO6 WGW6 WHE6 WHM6 WHU6 WIC6 WIK6 WIS6 WJA6 WJI6 WJQ6 WJY6 WKG6 WKO6 WKW6 WLE6 WLM6 WLU6 WMC6 WMK6 WMS6 WNA6 WNI6 WNQ6 WNY6 WOG6 WOO6 WOW6 WPE6 WPM6 WPU6 WQC6 WQK6 WQS6 WRA6 WRI6 WRQ6 WRY6 WSG6 WSO6 WSW6 WTE6 WTM6 WTU6 WUC6 WUK6 WUS6 WVA6 WVI6 WVQ6 WVY6 WWG6 WWO6 WWW6 WXE6 WXM6 WXU6 WYC6 WYK6 WYS6 WZA6 WZI6 WZQ6 WZY6 XAG6 XAO6 XAW6 XBE6 XBM6 XBU6 XCC6 XCK6 XCS6 XDA6 XDI6 XDQ6 XDY6 XEG6 XEO6 XEW6 I6" name="Intervalo4"/>
  </protectedRanges>
  <mergeCells count="4">
    <mergeCell ref="A3:G3"/>
    <mergeCell ref="A1:H1"/>
    <mergeCell ref="A2:H2"/>
    <mergeCell ref="A12:F12"/>
  </mergeCells>
  <conditionalFormatting sqref="A13:H1048576 H9:H12 I8:XFD1048576 A9:G11 A1:A2 I1:XFD2 A3:XFD3 A6:XFD7 A4:E5 G4:XFD4 G5 I5:XFD5">
    <cfRule type="expression" dxfId="40" priority="10">
      <formula>CELL("proteger",A1)=1</formula>
    </cfRule>
  </conditionalFormatting>
  <conditionalFormatting sqref="A8:D8 A12 G12">
    <cfRule type="expression" dxfId="39" priority="8">
      <formula>CELL("proteger",A8)=1</formula>
    </cfRule>
  </conditionalFormatting>
  <conditionalFormatting sqref="E8:H8">
    <cfRule type="expression" dxfId="38" priority="3">
      <formula>CELL("proteger",E8)=1</formula>
    </cfRule>
  </conditionalFormatting>
  <conditionalFormatting sqref="F4:F5">
    <cfRule type="expression" dxfId="37" priority="2">
      <formula>CELL("proteger",F4)=1</formula>
    </cfRule>
  </conditionalFormatting>
  <conditionalFormatting sqref="H5">
    <cfRule type="expression" dxfId="36" priority="1">
      <formula>CELL("proteger",H5)=1</formula>
    </cfRule>
  </conditionalFormatting>
  <printOptions horizontalCentered="1"/>
  <pageMargins left="0.7" right="0.7" top="0.75" bottom="0.75" header="0.3" footer="0.3"/>
  <pageSetup paperSize="9" scale="53" fitToHeight="0" orientation="portrait" r:id="rId1"/>
  <headerFooter scaleWithDoc="0"/>
  <drawing r:id="rId2"/>
  <legacyDrawing r:id="rId3"/>
  <legacyDrawingHF r:id="rId4"/>
  <oleObjects>
    <mc:AlternateContent xmlns:mc="http://schemas.openxmlformats.org/markup-compatibility/2006">
      <mc:Choice Requires="x14">
        <oleObject progId="CorelDraw.Graphic.18" shapeId="28673" r:id="rId5">
          <objectPr defaultSize="0" autoPict="0" r:id="rId6">
            <anchor moveWithCells="1">
              <from>
                <xdr:col>1</xdr:col>
                <xdr:colOff>1562100</xdr:colOff>
                <xdr:row>0</xdr:row>
                <xdr:rowOff>85725</xdr:rowOff>
              </from>
              <to>
                <xdr:col>1</xdr:col>
                <xdr:colOff>2476500</xdr:colOff>
                <xdr:row>0</xdr:row>
                <xdr:rowOff>771525</xdr:rowOff>
              </to>
            </anchor>
          </objectPr>
        </oleObject>
      </mc:Choice>
      <mc:Fallback>
        <oleObject progId="CorelDraw.Graphic.18" shapeId="28673" r:id="rId5"/>
      </mc:Fallback>
    </mc:AlternateContent>
  </oleObjects>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7DF2A9-91FD-4B98-BEB6-F349694BA069}">
  <sheetPr>
    <tabColor theme="1" tint="0.249977111117893"/>
    <pageSetUpPr fitToPage="1"/>
  </sheetPr>
  <dimension ref="A1:I17"/>
  <sheetViews>
    <sheetView view="pageBreakPreview" zoomScaleNormal="100" zoomScaleSheetLayoutView="100" workbookViewId="0">
      <selection activeCell="D19" sqref="D19"/>
    </sheetView>
  </sheetViews>
  <sheetFormatPr defaultColWidth="9.125" defaultRowHeight="14.25"/>
  <cols>
    <col min="1" max="1" width="5.375" style="5" customWidth="1"/>
    <col min="2" max="2" width="45.75" style="5" bestFit="1" customWidth="1"/>
    <col min="3" max="3" width="11.625" style="4" customWidth="1"/>
    <col min="4" max="4" width="12.625" style="5" bestFit="1" customWidth="1"/>
    <col min="5" max="6" width="16" style="5" customWidth="1"/>
    <col min="7" max="7" width="20.125" style="5" bestFit="1" customWidth="1"/>
    <col min="8" max="9" width="19.25" style="5" bestFit="1" customWidth="1"/>
    <col min="10" max="11" width="9.125" style="5"/>
    <col min="12" max="12" width="14" style="5" bestFit="1" customWidth="1"/>
    <col min="13" max="16384" width="9.125" style="5"/>
  </cols>
  <sheetData>
    <row r="1" spans="1:9" ht="66.75" customHeight="1" thickBot="1">
      <c r="A1" s="1377" t="s">
        <v>137</v>
      </c>
      <c r="B1" s="1378"/>
      <c r="C1" s="1378"/>
      <c r="D1" s="1378"/>
      <c r="E1" s="1378"/>
      <c r="F1" s="1378"/>
      <c r="G1" s="1378"/>
      <c r="H1" s="1379"/>
    </row>
    <row r="2" spans="1:9" ht="19.5" thickBot="1">
      <c r="A2" s="1380" t="s">
        <v>110</v>
      </c>
      <c r="B2" s="1381"/>
      <c r="C2" s="1381"/>
      <c r="D2" s="1381"/>
      <c r="E2" s="1381"/>
      <c r="F2" s="1381"/>
      <c r="G2" s="1381"/>
      <c r="H2" s="1382"/>
    </row>
    <row r="3" spans="1:9" ht="10.5" customHeight="1" thickBot="1">
      <c r="A3" s="1375"/>
      <c r="B3" s="1376"/>
      <c r="C3" s="1376"/>
      <c r="D3" s="1376"/>
      <c r="E3" s="1376"/>
      <c r="F3" s="1376"/>
      <c r="G3" s="1376"/>
      <c r="H3" s="426"/>
    </row>
    <row r="4" spans="1:9" ht="15.75" customHeight="1">
      <c r="A4" s="235" t="s">
        <v>51</v>
      </c>
      <c r="B4" s="236"/>
      <c r="C4" s="236"/>
      <c r="D4" s="236"/>
      <c r="E4" s="236"/>
      <c r="F4" s="236"/>
      <c r="G4" s="237" t="s">
        <v>52</v>
      </c>
      <c r="H4" s="238">
        <v>46091</v>
      </c>
    </row>
    <row r="5" spans="1:9" ht="16.5" thickBot="1">
      <c r="A5" s="239" t="s">
        <v>127</v>
      </c>
      <c r="B5" s="240"/>
      <c r="C5" s="240"/>
      <c r="D5" s="240"/>
      <c r="E5" s="240"/>
      <c r="F5" s="240"/>
      <c r="G5" s="241" t="s">
        <v>53</v>
      </c>
      <c r="H5" s="242">
        <v>0.24840000000000001</v>
      </c>
    </row>
    <row r="6" spans="1:9" ht="15.75" customHeight="1">
      <c r="A6" s="427"/>
      <c r="B6" s="428"/>
      <c r="C6" s="429"/>
      <c r="D6" s="429"/>
      <c r="E6" s="936"/>
      <c r="F6" s="936"/>
      <c r="G6" s="431"/>
      <c r="H6" s="426"/>
    </row>
    <row r="7" spans="1:9" ht="15.75" thickBot="1">
      <c r="A7" s="937"/>
      <c r="B7" s="425"/>
      <c r="C7" s="940"/>
      <c r="D7" s="425"/>
      <c r="E7" s="425"/>
      <c r="F7" s="425"/>
      <c r="G7" s="941"/>
      <c r="H7" s="426"/>
      <c r="I7" s="14"/>
    </row>
    <row r="8" spans="1:9" s="78" customFormat="1" ht="48" thickBot="1">
      <c r="A8" s="256" t="s">
        <v>54</v>
      </c>
      <c r="B8" s="257" t="s">
        <v>55</v>
      </c>
      <c r="C8" s="257" t="s">
        <v>56</v>
      </c>
      <c r="D8" s="257" t="s">
        <v>57</v>
      </c>
      <c r="E8" s="258" t="s">
        <v>230</v>
      </c>
      <c r="F8" s="258" t="s">
        <v>406</v>
      </c>
      <c r="G8" s="258" t="s">
        <v>402</v>
      </c>
      <c r="H8" s="259" t="s">
        <v>240</v>
      </c>
      <c r="I8" s="79"/>
    </row>
    <row r="9" spans="1:9" ht="15.75">
      <c r="A9" s="249">
        <v>2</v>
      </c>
      <c r="B9" s="250" t="s">
        <v>58</v>
      </c>
      <c r="C9" s="251"/>
      <c r="D9" s="252"/>
      <c r="E9" s="253"/>
      <c r="F9" s="253"/>
      <c r="G9" s="254"/>
      <c r="H9" s="255"/>
      <c r="I9" s="14"/>
    </row>
    <row r="10" spans="1:9" ht="15.75">
      <c r="A10" s="243" t="s">
        <v>118</v>
      </c>
      <c r="B10" s="244" t="s">
        <v>601</v>
      </c>
      <c r="C10" s="514" t="s">
        <v>8</v>
      </c>
      <c r="D10" s="245">
        <f>'COLETA RURAL'!K17</f>
        <v>2770.38</v>
      </c>
      <c r="E10" s="246">
        <f>'CAMINHÃO BASC. RURAL'!E60</f>
        <v>7.0777767080910676</v>
      </c>
      <c r="F10" s="246">
        <f>E10*D10</f>
        <v>19608.131036561332</v>
      </c>
      <c r="G10" s="247">
        <f>F10*(1+$H$5)</f>
        <v>24478.790786043166</v>
      </c>
      <c r="H10" s="248">
        <f>SUM(G10*12)</f>
        <v>293745.48943251802</v>
      </c>
      <c r="I10" s="16"/>
    </row>
    <row r="11" spans="1:9" ht="16.5" thickBot="1">
      <c r="A11" s="260" t="s">
        <v>119</v>
      </c>
      <c r="B11" s="261" t="s">
        <v>602</v>
      </c>
      <c r="C11" s="262" t="s">
        <v>229</v>
      </c>
      <c r="D11" s="263">
        <v>1</v>
      </c>
      <c r="E11" s="264">
        <f>'M.O. COLETA'!E118</f>
        <v>18419.690299999998</v>
      </c>
      <c r="F11" s="264">
        <f>D11*E11</f>
        <v>18419.690299999998</v>
      </c>
      <c r="G11" s="265">
        <f>F11*(1+$H$5)</f>
        <v>22995.141370519996</v>
      </c>
      <c r="H11" s="266">
        <f>SUM(G11*12)</f>
        <v>275941.69644623995</v>
      </c>
    </row>
    <row r="12" spans="1:9" ht="21.75" thickBot="1">
      <c r="A12" s="1383" t="s">
        <v>62</v>
      </c>
      <c r="B12" s="1384"/>
      <c r="C12" s="1384"/>
      <c r="D12" s="1384"/>
      <c r="E12" s="1384"/>
      <c r="F12" s="1385"/>
      <c r="G12" s="267">
        <f>SUM(G10:G11)</f>
        <v>47473.932156563162</v>
      </c>
      <c r="H12" s="268">
        <f>SUM(H10:H11)</f>
        <v>569687.18587875797</v>
      </c>
    </row>
    <row r="16" spans="1:9">
      <c r="E16" s="16"/>
      <c r="F16" s="16"/>
    </row>
    <row r="17" spans="5:6">
      <c r="E17" s="16"/>
      <c r="F17" s="16"/>
    </row>
  </sheetData>
  <protectedRanges>
    <protectedRange sqref="M6:O6 U6:W6 AC6:AE6 AK6:AM6 AS6:AU6 BA6:BC6 BI6:BK6 BQ6:BS6 BY6:CA6 CG6:CI6 CO6:CQ6 CW6:CY6 DE6:DG6 DM6:DO6 DU6:DW6 EC6:EE6 EK6:EM6 ES6:EU6 FA6:FC6 FI6:FK6 FQ6:FS6 FY6:GA6 GG6:GI6 GO6:GQ6 GW6:GY6 HE6:HG6 HM6:HO6 HU6:HW6 IC6:IE6 IK6:IM6 IS6:IU6 JA6:JC6 JI6:JK6 JQ6:JS6 JY6:KA6 KG6:KI6 KO6:KQ6 KW6:KY6 LE6:LG6 LM6:LO6 LU6:LW6 MC6:ME6 MK6:MM6 MS6:MU6 NA6:NC6 NI6:NK6 NQ6:NS6 NY6:OA6 OG6:OI6 OO6:OQ6 OW6:OY6 PE6:PG6 PM6:PO6 PU6:PW6 QC6:QE6 QK6:QM6 QS6:QU6 RA6:RC6 RI6:RK6 RQ6:RS6 RY6:SA6 SG6:SI6 SO6:SQ6 SW6:SY6 TE6:TG6 TM6:TO6 TU6:TW6 UC6:UE6 UK6:UM6 US6:UU6 VA6:VC6 VI6:VK6 VQ6:VS6 VY6:WA6 WG6:WI6 WO6:WQ6 WW6:WY6 XE6:XG6 XM6:XO6 XU6:XW6 YC6:YE6 YK6:YM6 YS6:YU6 ZA6:ZC6 ZI6:ZK6 ZQ6:ZS6 ZY6:AAA6 AAG6:AAI6 AAO6:AAQ6 AAW6:AAY6 ABE6:ABG6 ABM6:ABO6 ABU6:ABW6 ACC6:ACE6 ACK6:ACM6 ACS6:ACU6 ADA6:ADC6 ADI6:ADK6 ADQ6:ADS6 ADY6:AEA6 AEG6:AEI6 AEO6:AEQ6 AEW6:AEY6 AFE6:AFG6 AFM6:AFO6 AFU6:AFW6 AGC6:AGE6 AGK6:AGM6 AGS6:AGU6 AHA6:AHC6 AHI6:AHK6 AHQ6:AHS6 AHY6:AIA6 AIG6:AII6 AIO6:AIQ6 AIW6:AIY6 AJE6:AJG6 AJM6:AJO6 AJU6:AJW6 AKC6:AKE6 AKK6:AKM6 AKS6:AKU6 ALA6:ALC6 ALI6:ALK6 ALQ6:ALS6 ALY6:AMA6 AMG6:AMI6 AMO6:AMQ6 AMW6:AMY6 ANE6:ANG6 ANM6:ANO6 ANU6:ANW6 AOC6:AOE6 AOK6:AOM6 AOS6:AOU6 APA6:APC6 API6:APK6 APQ6:APS6 APY6:AQA6 AQG6:AQI6 AQO6:AQQ6 AQW6:AQY6 ARE6:ARG6 ARM6:ARO6 ARU6:ARW6 ASC6:ASE6 ASK6:ASM6 ASS6:ASU6 ATA6:ATC6 ATI6:ATK6 ATQ6:ATS6 ATY6:AUA6 AUG6:AUI6 AUO6:AUQ6 AUW6:AUY6 AVE6:AVG6 AVM6:AVO6 AVU6:AVW6 AWC6:AWE6 AWK6:AWM6 AWS6:AWU6 AXA6:AXC6 AXI6:AXK6 AXQ6:AXS6 AXY6:AYA6 AYG6:AYI6 AYO6:AYQ6 AYW6:AYY6 AZE6:AZG6 AZM6:AZO6 AZU6:AZW6 BAC6:BAE6 BAK6:BAM6 BAS6:BAU6 BBA6:BBC6 BBI6:BBK6 BBQ6:BBS6 BBY6:BCA6 BCG6:BCI6 BCO6:BCQ6 BCW6:BCY6 BDE6:BDG6 BDM6:BDO6 BDU6:BDW6 BEC6:BEE6 BEK6:BEM6 BES6:BEU6 BFA6:BFC6 BFI6:BFK6 BFQ6:BFS6 BFY6:BGA6 BGG6:BGI6 BGO6:BGQ6 BGW6:BGY6 BHE6:BHG6 BHM6:BHO6 BHU6:BHW6 BIC6:BIE6 BIK6:BIM6 BIS6:BIU6 BJA6:BJC6 BJI6:BJK6 BJQ6:BJS6 BJY6:BKA6 BKG6:BKI6 BKO6:BKQ6 BKW6:BKY6 BLE6:BLG6 BLM6:BLO6 BLU6:BLW6 BMC6:BME6 BMK6:BMM6 BMS6:BMU6 BNA6:BNC6 BNI6:BNK6 BNQ6:BNS6 BNY6:BOA6 BOG6:BOI6 BOO6:BOQ6 BOW6:BOY6 BPE6:BPG6 BPM6:BPO6 BPU6:BPW6 BQC6:BQE6 BQK6:BQM6 BQS6:BQU6 BRA6:BRC6 BRI6:BRK6 BRQ6:BRS6 BRY6:BSA6 BSG6:BSI6 BSO6:BSQ6 BSW6:BSY6 BTE6:BTG6 BTM6:BTO6 BTU6:BTW6 BUC6:BUE6 BUK6:BUM6 BUS6:BUU6 BVA6:BVC6 BVI6:BVK6 BVQ6:BVS6 BVY6:BWA6 BWG6:BWI6 BWO6:BWQ6 BWW6:BWY6 BXE6:BXG6 BXM6:BXO6 BXU6:BXW6 BYC6:BYE6 BYK6:BYM6 BYS6:BYU6 BZA6:BZC6 BZI6:BZK6 BZQ6:BZS6 BZY6:CAA6 CAG6:CAI6 CAO6:CAQ6 CAW6:CAY6 CBE6:CBG6 CBM6:CBO6 CBU6:CBW6 CCC6:CCE6 CCK6:CCM6 CCS6:CCU6 CDA6:CDC6 CDI6:CDK6 CDQ6:CDS6 CDY6:CEA6 CEG6:CEI6 CEO6:CEQ6 CEW6:CEY6 CFE6:CFG6 CFM6:CFO6 CFU6:CFW6 CGC6:CGE6 CGK6:CGM6 CGS6:CGU6 CHA6:CHC6 CHI6:CHK6 CHQ6:CHS6 CHY6:CIA6 CIG6:CII6 CIO6:CIQ6 CIW6:CIY6 CJE6:CJG6 CJM6:CJO6 CJU6:CJW6 CKC6:CKE6 CKK6:CKM6 CKS6:CKU6 CLA6:CLC6 CLI6:CLK6 CLQ6:CLS6 CLY6:CMA6 CMG6:CMI6 CMO6:CMQ6 CMW6:CMY6 CNE6:CNG6 CNM6:CNO6 CNU6:CNW6 COC6:COE6 COK6:COM6 COS6:COU6 CPA6:CPC6 CPI6:CPK6 CPQ6:CPS6 CPY6:CQA6 CQG6:CQI6 CQO6:CQQ6 CQW6:CQY6 CRE6:CRG6 CRM6:CRO6 CRU6:CRW6 CSC6:CSE6 CSK6:CSM6 CSS6:CSU6 CTA6:CTC6 CTI6:CTK6 CTQ6:CTS6 CTY6:CUA6 CUG6:CUI6 CUO6:CUQ6 CUW6:CUY6 CVE6:CVG6 CVM6:CVO6 CVU6:CVW6 CWC6:CWE6 CWK6:CWM6 CWS6:CWU6 CXA6:CXC6 CXI6:CXK6 CXQ6:CXS6 CXY6:CYA6 CYG6:CYI6 CYO6:CYQ6 CYW6:CYY6 CZE6:CZG6 CZM6:CZO6 CZU6:CZW6 DAC6:DAE6 DAK6:DAM6 DAS6:DAU6 DBA6:DBC6 DBI6:DBK6 DBQ6:DBS6 DBY6:DCA6 DCG6:DCI6 DCO6:DCQ6 DCW6:DCY6 DDE6:DDG6 DDM6:DDO6 DDU6:DDW6 DEC6:DEE6 DEK6:DEM6 DES6:DEU6 DFA6:DFC6 DFI6:DFK6 DFQ6:DFS6 DFY6:DGA6 DGG6:DGI6 DGO6:DGQ6 DGW6:DGY6 DHE6:DHG6 DHM6:DHO6 DHU6:DHW6 DIC6:DIE6 DIK6:DIM6 DIS6:DIU6 DJA6:DJC6 DJI6:DJK6 DJQ6:DJS6 DJY6:DKA6 DKG6:DKI6 DKO6:DKQ6 DKW6:DKY6 DLE6:DLG6 DLM6:DLO6 DLU6:DLW6 DMC6:DME6 DMK6:DMM6 DMS6:DMU6 DNA6:DNC6 DNI6:DNK6 DNQ6:DNS6 DNY6:DOA6 DOG6:DOI6 DOO6:DOQ6 DOW6:DOY6 DPE6:DPG6 DPM6:DPO6 DPU6:DPW6 DQC6:DQE6 DQK6:DQM6 DQS6:DQU6 DRA6:DRC6 DRI6:DRK6 DRQ6:DRS6 DRY6:DSA6 DSG6:DSI6 DSO6:DSQ6 DSW6:DSY6 DTE6:DTG6 DTM6:DTO6 DTU6:DTW6 DUC6:DUE6 DUK6:DUM6 DUS6:DUU6 DVA6:DVC6 DVI6:DVK6 DVQ6:DVS6 DVY6:DWA6 DWG6:DWI6 DWO6:DWQ6 DWW6:DWY6 DXE6:DXG6 DXM6:DXO6 DXU6:DXW6 DYC6:DYE6 DYK6:DYM6 DYS6:DYU6 DZA6:DZC6 DZI6:DZK6 DZQ6:DZS6 DZY6:EAA6 EAG6:EAI6 EAO6:EAQ6 EAW6:EAY6 EBE6:EBG6 EBM6:EBO6 EBU6:EBW6 ECC6:ECE6 ECK6:ECM6 ECS6:ECU6 EDA6:EDC6 EDI6:EDK6 EDQ6:EDS6 EDY6:EEA6 EEG6:EEI6 EEO6:EEQ6 EEW6:EEY6 EFE6:EFG6 EFM6:EFO6 EFU6:EFW6 EGC6:EGE6 EGK6:EGM6 EGS6:EGU6 EHA6:EHC6 EHI6:EHK6 EHQ6:EHS6 EHY6:EIA6 EIG6:EII6 EIO6:EIQ6 EIW6:EIY6 EJE6:EJG6 EJM6:EJO6 EJU6:EJW6 EKC6:EKE6 EKK6:EKM6 EKS6:EKU6 ELA6:ELC6 ELI6:ELK6 ELQ6:ELS6 ELY6:EMA6 EMG6:EMI6 EMO6:EMQ6 EMW6:EMY6 ENE6:ENG6 ENM6:ENO6 ENU6:ENW6 EOC6:EOE6 EOK6:EOM6 EOS6:EOU6 EPA6:EPC6 EPI6:EPK6 EPQ6:EPS6 EPY6:EQA6 EQG6:EQI6 EQO6:EQQ6 EQW6:EQY6 ERE6:ERG6 ERM6:ERO6 ERU6:ERW6 ESC6:ESE6 ESK6:ESM6 ESS6:ESU6 ETA6:ETC6 ETI6:ETK6 ETQ6:ETS6 ETY6:EUA6 EUG6:EUI6 EUO6:EUQ6 EUW6:EUY6 EVE6:EVG6 EVM6:EVO6 EVU6:EVW6 EWC6:EWE6 EWK6:EWM6 EWS6:EWU6 EXA6:EXC6 EXI6:EXK6 EXQ6:EXS6 EXY6:EYA6 EYG6:EYI6 EYO6:EYQ6 EYW6:EYY6 EZE6:EZG6 EZM6:EZO6 EZU6:EZW6 FAC6:FAE6 FAK6:FAM6 FAS6:FAU6 FBA6:FBC6 FBI6:FBK6 FBQ6:FBS6 FBY6:FCA6 FCG6:FCI6 FCO6:FCQ6 FCW6:FCY6 FDE6:FDG6 FDM6:FDO6 FDU6:FDW6 FEC6:FEE6 FEK6:FEM6 FES6:FEU6 FFA6:FFC6 FFI6:FFK6 FFQ6:FFS6 FFY6:FGA6 FGG6:FGI6 FGO6:FGQ6 FGW6:FGY6 FHE6:FHG6 FHM6:FHO6 FHU6:FHW6 FIC6:FIE6 FIK6:FIM6 FIS6:FIU6 FJA6:FJC6 FJI6:FJK6 FJQ6:FJS6 FJY6:FKA6 FKG6:FKI6 FKO6:FKQ6 FKW6:FKY6 FLE6:FLG6 FLM6:FLO6 FLU6:FLW6 FMC6:FME6 FMK6:FMM6 FMS6:FMU6 FNA6:FNC6 FNI6:FNK6 FNQ6:FNS6 FNY6:FOA6 FOG6:FOI6 FOO6:FOQ6 FOW6:FOY6 FPE6:FPG6 FPM6:FPO6 FPU6:FPW6 FQC6:FQE6 FQK6:FQM6 FQS6:FQU6 FRA6:FRC6 FRI6:FRK6 FRQ6:FRS6 FRY6:FSA6 FSG6:FSI6 FSO6:FSQ6 FSW6:FSY6 FTE6:FTG6 FTM6:FTO6 FTU6:FTW6 FUC6:FUE6 FUK6:FUM6 FUS6:FUU6 FVA6:FVC6 FVI6:FVK6 FVQ6:FVS6 FVY6:FWA6 FWG6:FWI6 FWO6:FWQ6 FWW6:FWY6 FXE6:FXG6 FXM6:FXO6 FXU6:FXW6 FYC6:FYE6 FYK6:FYM6 FYS6:FYU6 FZA6:FZC6 FZI6:FZK6 FZQ6:FZS6 FZY6:GAA6 GAG6:GAI6 GAO6:GAQ6 GAW6:GAY6 GBE6:GBG6 GBM6:GBO6 GBU6:GBW6 GCC6:GCE6 GCK6:GCM6 GCS6:GCU6 GDA6:GDC6 GDI6:GDK6 GDQ6:GDS6 GDY6:GEA6 GEG6:GEI6 GEO6:GEQ6 GEW6:GEY6 GFE6:GFG6 GFM6:GFO6 GFU6:GFW6 GGC6:GGE6 GGK6:GGM6 GGS6:GGU6 GHA6:GHC6 GHI6:GHK6 GHQ6:GHS6 GHY6:GIA6 GIG6:GII6 GIO6:GIQ6 GIW6:GIY6 GJE6:GJG6 GJM6:GJO6 GJU6:GJW6 GKC6:GKE6 GKK6:GKM6 GKS6:GKU6 GLA6:GLC6 GLI6:GLK6 GLQ6:GLS6 GLY6:GMA6 GMG6:GMI6 GMO6:GMQ6 GMW6:GMY6 GNE6:GNG6 GNM6:GNO6 GNU6:GNW6 GOC6:GOE6 GOK6:GOM6 GOS6:GOU6 GPA6:GPC6 GPI6:GPK6 GPQ6:GPS6 GPY6:GQA6 GQG6:GQI6 GQO6:GQQ6 GQW6:GQY6 GRE6:GRG6 GRM6:GRO6 GRU6:GRW6 GSC6:GSE6 GSK6:GSM6 GSS6:GSU6 GTA6:GTC6 GTI6:GTK6 GTQ6:GTS6 GTY6:GUA6 GUG6:GUI6 GUO6:GUQ6 GUW6:GUY6 GVE6:GVG6 GVM6:GVO6 GVU6:GVW6 GWC6:GWE6 GWK6:GWM6 GWS6:GWU6 GXA6:GXC6 GXI6:GXK6 GXQ6:GXS6 GXY6:GYA6 GYG6:GYI6 GYO6:GYQ6 GYW6:GYY6 GZE6:GZG6 GZM6:GZO6 GZU6:GZW6 HAC6:HAE6 HAK6:HAM6 HAS6:HAU6 HBA6:HBC6 HBI6:HBK6 HBQ6:HBS6 HBY6:HCA6 HCG6:HCI6 HCO6:HCQ6 HCW6:HCY6 HDE6:HDG6 HDM6:HDO6 HDU6:HDW6 HEC6:HEE6 HEK6:HEM6 HES6:HEU6 HFA6:HFC6 HFI6:HFK6 HFQ6:HFS6 HFY6:HGA6 HGG6:HGI6 HGO6:HGQ6 HGW6:HGY6 HHE6:HHG6 HHM6:HHO6 HHU6:HHW6 HIC6:HIE6 HIK6:HIM6 HIS6:HIU6 HJA6:HJC6 HJI6:HJK6 HJQ6:HJS6 HJY6:HKA6 HKG6:HKI6 HKO6:HKQ6 HKW6:HKY6 HLE6:HLG6 HLM6:HLO6 HLU6:HLW6 HMC6:HME6 HMK6:HMM6 HMS6:HMU6 HNA6:HNC6 HNI6:HNK6 HNQ6:HNS6 HNY6:HOA6 HOG6:HOI6 HOO6:HOQ6 HOW6:HOY6 HPE6:HPG6 HPM6:HPO6 HPU6:HPW6 HQC6:HQE6 HQK6:HQM6 HQS6:HQU6 HRA6:HRC6 HRI6:HRK6 HRQ6:HRS6 HRY6:HSA6 HSG6:HSI6 HSO6:HSQ6 HSW6:HSY6 HTE6:HTG6 HTM6:HTO6 HTU6:HTW6 HUC6:HUE6 HUK6:HUM6 HUS6:HUU6 HVA6:HVC6 HVI6:HVK6 HVQ6:HVS6 HVY6:HWA6 HWG6:HWI6 HWO6:HWQ6 HWW6:HWY6 HXE6:HXG6 HXM6:HXO6 HXU6:HXW6 HYC6:HYE6 HYK6:HYM6 HYS6:HYU6 HZA6:HZC6 HZI6:HZK6 HZQ6:HZS6 HZY6:IAA6 IAG6:IAI6 IAO6:IAQ6 IAW6:IAY6 IBE6:IBG6 IBM6:IBO6 IBU6:IBW6 ICC6:ICE6 ICK6:ICM6 ICS6:ICU6 IDA6:IDC6 IDI6:IDK6 IDQ6:IDS6 IDY6:IEA6 IEG6:IEI6 IEO6:IEQ6 IEW6:IEY6 IFE6:IFG6 IFM6:IFO6 IFU6:IFW6 IGC6:IGE6 IGK6:IGM6 IGS6:IGU6 IHA6:IHC6 IHI6:IHK6 IHQ6:IHS6 IHY6:IIA6 IIG6:III6 IIO6:IIQ6 IIW6:IIY6 IJE6:IJG6 IJM6:IJO6 IJU6:IJW6 IKC6:IKE6 IKK6:IKM6 IKS6:IKU6 ILA6:ILC6 ILI6:ILK6 ILQ6:ILS6 ILY6:IMA6 IMG6:IMI6 IMO6:IMQ6 IMW6:IMY6 INE6:ING6 INM6:INO6 INU6:INW6 IOC6:IOE6 IOK6:IOM6 IOS6:IOU6 IPA6:IPC6 IPI6:IPK6 IPQ6:IPS6 IPY6:IQA6 IQG6:IQI6 IQO6:IQQ6 IQW6:IQY6 IRE6:IRG6 IRM6:IRO6 IRU6:IRW6 ISC6:ISE6 ISK6:ISM6 ISS6:ISU6 ITA6:ITC6 ITI6:ITK6 ITQ6:ITS6 ITY6:IUA6 IUG6:IUI6 IUO6:IUQ6 IUW6:IUY6 IVE6:IVG6 IVM6:IVO6 IVU6:IVW6 IWC6:IWE6 IWK6:IWM6 IWS6:IWU6 IXA6:IXC6 IXI6:IXK6 IXQ6:IXS6 IXY6:IYA6 IYG6:IYI6 IYO6:IYQ6 IYW6:IYY6 IZE6:IZG6 IZM6:IZO6 IZU6:IZW6 JAC6:JAE6 JAK6:JAM6 JAS6:JAU6 JBA6:JBC6 JBI6:JBK6 JBQ6:JBS6 JBY6:JCA6 JCG6:JCI6 JCO6:JCQ6 JCW6:JCY6 JDE6:JDG6 JDM6:JDO6 JDU6:JDW6 JEC6:JEE6 JEK6:JEM6 JES6:JEU6 JFA6:JFC6 JFI6:JFK6 JFQ6:JFS6 JFY6:JGA6 JGG6:JGI6 JGO6:JGQ6 JGW6:JGY6 JHE6:JHG6 JHM6:JHO6 JHU6:JHW6 JIC6:JIE6 JIK6:JIM6 JIS6:JIU6 JJA6:JJC6 JJI6:JJK6 JJQ6:JJS6 JJY6:JKA6 JKG6:JKI6 JKO6:JKQ6 JKW6:JKY6 JLE6:JLG6 JLM6:JLO6 JLU6:JLW6 JMC6:JME6 JMK6:JMM6 JMS6:JMU6 JNA6:JNC6 JNI6:JNK6 JNQ6:JNS6 JNY6:JOA6 JOG6:JOI6 JOO6:JOQ6 JOW6:JOY6 JPE6:JPG6 JPM6:JPO6 JPU6:JPW6 JQC6:JQE6 JQK6:JQM6 JQS6:JQU6 JRA6:JRC6 JRI6:JRK6 JRQ6:JRS6 JRY6:JSA6 JSG6:JSI6 JSO6:JSQ6 JSW6:JSY6 JTE6:JTG6 JTM6:JTO6 JTU6:JTW6 JUC6:JUE6 JUK6:JUM6 JUS6:JUU6 JVA6:JVC6 JVI6:JVK6 JVQ6:JVS6 JVY6:JWA6 JWG6:JWI6 JWO6:JWQ6 JWW6:JWY6 JXE6:JXG6 JXM6:JXO6 JXU6:JXW6 JYC6:JYE6 JYK6:JYM6 JYS6:JYU6 JZA6:JZC6 JZI6:JZK6 JZQ6:JZS6 JZY6:KAA6 KAG6:KAI6 KAO6:KAQ6 KAW6:KAY6 KBE6:KBG6 KBM6:KBO6 KBU6:KBW6 KCC6:KCE6 KCK6:KCM6 KCS6:KCU6 KDA6:KDC6 KDI6:KDK6 KDQ6:KDS6 KDY6:KEA6 KEG6:KEI6 KEO6:KEQ6 KEW6:KEY6 KFE6:KFG6 KFM6:KFO6 KFU6:KFW6 KGC6:KGE6 KGK6:KGM6 KGS6:KGU6 KHA6:KHC6 KHI6:KHK6 KHQ6:KHS6 KHY6:KIA6 KIG6:KII6 KIO6:KIQ6 KIW6:KIY6 KJE6:KJG6 KJM6:KJO6 KJU6:KJW6 KKC6:KKE6 KKK6:KKM6 KKS6:KKU6 KLA6:KLC6 KLI6:KLK6 KLQ6:KLS6 KLY6:KMA6 KMG6:KMI6 KMO6:KMQ6 KMW6:KMY6 KNE6:KNG6 KNM6:KNO6 KNU6:KNW6 KOC6:KOE6 KOK6:KOM6 KOS6:KOU6 KPA6:KPC6 KPI6:KPK6 KPQ6:KPS6 KPY6:KQA6 KQG6:KQI6 KQO6:KQQ6 KQW6:KQY6 KRE6:KRG6 KRM6:KRO6 KRU6:KRW6 KSC6:KSE6 KSK6:KSM6 KSS6:KSU6 KTA6:KTC6 KTI6:KTK6 KTQ6:KTS6 KTY6:KUA6 KUG6:KUI6 KUO6:KUQ6 KUW6:KUY6 KVE6:KVG6 KVM6:KVO6 KVU6:KVW6 KWC6:KWE6 KWK6:KWM6 KWS6:KWU6 KXA6:KXC6 KXI6:KXK6 KXQ6:KXS6 KXY6:KYA6 KYG6:KYI6 KYO6:KYQ6 KYW6:KYY6 KZE6:KZG6 KZM6:KZO6 KZU6:KZW6 LAC6:LAE6 LAK6:LAM6 LAS6:LAU6 LBA6:LBC6 LBI6:LBK6 LBQ6:LBS6 LBY6:LCA6 LCG6:LCI6 LCO6:LCQ6 LCW6:LCY6 LDE6:LDG6 LDM6:LDO6 LDU6:LDW6 LEC6:LEE6 LEK6:LEM6 LES6:LEU6 LFA6:LFC6 LFI6:LFK6 LFQ6:LFS6 LFY6:LGA6 LGG6:LGI6 LGO6:LGQ6 LGW6:LGY6 LHE6:LHG6 LHM6:LHO6 LHU6:LHW6 LIC6:LIE6 LIK6:LIM6 LIS6:LIU6 LJA6:LJC6 LJI6:LJK6 LJQ6:LJS6 LJY6:LKA6 LKG6:LKI6 LKO6:LKQ6 LKW6:LKY6 LLE6:LLG6 LLM6:LLO6 LLU6:LLW6 LMC6:LME6 LMK6:LMM6 LMS6:LMU6 LNA6:LNC6 LNI6:LNK6 LNQ6:LNS6 LNY6:LOA6 LOG6:LOI6 LOO6:LOQ6 LOW6:LOY6 LPE6:LPG6 LPM6:LPO6 LPU6:LPW6 LQC6:LQE6 LQK6:LQM6 LQS6:LQU6 LRA6:LRC6 LRI6:LRK6 LRQ6:LRS6 LRY6:LSA6 LSG6:LSI6 LSO6:LSQ6 LSW6:LSY6 LTE6:LTG6 LTM6:LTO6 LTU6:LTW6 LUC6:LUE6 LUK6:LUM6 LUS6:LUU6 LVA6:LVC6 LVI6:LVK6 LVQ6:LVS6 LVY6:LWA6 LWG6:LWI6 LWO6:LWQ6 LWW6:LWY6 LXE6:LXG6 LXM6:LXO6 LXU6:LXW6 LYC6:LYE6 LYK6:LYM6 LYS6:LYU6 LZA6:LZC6 LZI6:LZK6 LZQ6:LZS6 LZY6:MAA6 MAG6:MAI6 MAO6:MAQ6 MAW6:MAY6 MBE6:MBG6 MBM6:MBO6 MBU6:MBW6 MCC6:MCE6 MCK6:MCM6 MCS6:MCU6 MDA6:MDC6 MDI6:MDK6 MDQ6:MDS6 MDY6:MEA6 MEG6:MEI6 MEO6:MEQ6 MEW6:MEY6 MFE6:MFG6 MFM6:MFO6 MFU6:MFW6 MGC6:MGE6 MGK6:MGM6 MGS6:MGU6 MHA6:MHC6 MHI6:MHK6 MHQ6:MHS6 MHY6:MIA6 MIG6:MII6 MIO6:MIQ6 MIW6:MIY6 MJE6:MJG6 MJM6:MJO6 MJU6:MJW6 MKC6:MKE6 MKK6:MKM6 MKS6:MKU6 MLA6:MLC6 MLI6:MLK6 MLQ6:MLS6 MLY6:MMA6 MMG6:MMI6 MMO6:MMQ6 MMW6:MMY6 MNE6:MNG6 MNM6:MNO6 MNU6:MNW6 MOC6:MOE6 MOK6:MOM6 MOS6:MOU6 MPA6:MPC6 MPI6:MPK6 MPQ6:MPS6 MPY6:MQA6 MQG6:MQI6 MQO6:MQQ6 MQW6:MQY6 MRE6:MRG6 MRM6:MRO6 MRU6:MRW6 MSC6:MSE6 MSK6:MSM6 MSS6:MSU6 MTA6:MTC6 MTI6:MTK6 MTQ6:MTS6 MTY6:MUA6 MUG6:MUI6 MUO6:MUQ6 MUW6:MUY6 MVE6:MVG6 MVM6:MVO6 MVU6:MVW6 MWC6:MWE6 MWK6:MWM6 MWS6:MWU6 MXA6:MXC6 MXI6:MXK6 MXQ6:MXS6 MXY6:MYA6 MYG6:MYI6 MYO6:MYQ6 MYW6:MYY6 MZE6:MZG6 MZM6:MZO6 MZU6:MZW6 NAC6:NAE6 NAK6:NAM6 NAS6:NAU6 NBA6:NBC6 NBI6:NBK6 NBQ6:NBS6 NBY6:NCA6 NCG6:NCI6 NCO6:NCQ6 NCW6:NCY6 NDE6:NDG6 NDM6:NDO6 NDU6:NDW6 NEC6:NEE6 NEK6:NEM6 NES6:NEU6 NFA6:NFC6 NFI6:NFK6 NFQ6:NFS6 NFY6:NGA6 NGG6:NGI6 NGO6:NGQ6 NGW6:NGY6 NHE6:NHG6 NHM6:NHO6 NHU6:NHW6 NIC6:NIE6 NIK6:NIM6 NIS6:NIU6 NJA6:NJC6 NJI6:NJK6 NJQ6:NJS6 NJY6:NKA6 NKG6:NKI6 NKO6:NKQ6 NKW6:NKY6 NLE6:NLG6 NLM6:NLO6 NLU6:NLW6 NMC6:NME6 NMK6:NMM6 NMS6:NMU6 NNA6:NNC6 NNI6:NNK6 NNQ6:NNS6 NNY6:NOA6 NOG6:NOI6 NOO6:NOQ6 NOW6:NOY6 NPE6:NPG6 NPM6:NPO6 NPU6:NPW6 NQC6:NQE6 NQK6:NQM6 NQS6:NQU6 NRA6:NRC6 NRI6:NRK6 NRQ6:NRS6 NRY6:NSA6 NSG6:NSI6 NSO6:NSQ6 NSW6:NSY6 NTE6:NTG6 NTM6:NTO6 NTU6:NTW6 NUC6:NUE6 NUK6:NUM6 NUS6:NUU6 NVA6:NVC6 NVI6:NVK6 NVQ6:NVS6 NVY6:NWA6 NWG6:NWI6 NWO6:NWQ6 NWW6:NWY6 NXE6:NXG6 NXM6:NXO6 NXU6:NXW6 NYC6:NYE6 NYK6:NYM6 NYS6:NYU6 NZA6:NZC6 NZI6:NZK6 NZQ6:NZS6 NZY6:OAA6 OAG6:OAI6 OAO6:OAQ6 OAW6:OAY6 OBE6:OBG6 OBM6:OBO6 OBU6:OBW6 OCC6:OCE6 OCK6:OCM6 OCS6:OCU6 ODA6:ODC6 ODI6:ODK6 ODQ6:ODS6 ODY6:OEA6 OEG6:OEI6 OEO6:OEQ6 OEW6:OEY6 OFE6:OFG6 OFM6:OFO6 OFU6:OFW6 OGC6:OGE6 OGK6:OGM6 OGS6:OGU6 OHA6:OHC6 OHI6:OHK6 OHQ6:OHS6 OHY6:OIA6 OIG6:OII6 OIO6:OIQ6 OIW6:OIY6 OJE6:OJG6 OJM6:OJO6 OJU6:OJW6 OKC6:OKE6 OKK6:OKM6 OKS6:OKU6 OLA6:OLC6 OLI6:OLK6 OLQ6:OLS6 OLY6:OMA6 OMG6:OMI6 OMO6:OMQ6 OMW6:OMY6 ONE6:ONG6 ONM6:ONO6 ONU6:ONW6 OOC6:OOE6 OOK6:OOM6 OOS6:OOU6 OPA6:OPC6 OPI6:OPK6 OPQ6:OPS6 OPY6:OQA6 OQG6:OQI6 OQO6:OQQ6 OQW6:OQY6 ORE6:ORG6 ORM6:ORO6 ORU6:ORW6 OSC6:OSE6 OSK6:OSM6 OSS6:OSU6 OTA6:OTC6 OTI6:OTK6 OTQ6:OTS6 OTY6:OUA6 OUG6:OUI6 OUO6:OUQ6 OUW6:OUY6 OVE6:OVG6 OVM6:OVO6 OVU6:OVW6 OWC6:OWE6 OWK6:OWM6 OWS6:OWU6 OXA6:OXC6 OXI6:OXK6 OXQ6:OXS6 OXY6:OYA6 OYG6:OYI6 OYO6:OYQ6 OYW6:OYY6 OZE6:OZG6 OZM6:OZO6 OZU6:OZW6 PAC6:PAE6 PAK6:PAM6 PAS6:PAU6 PBA6:PBC6 PBI6:PBK6 PBQ6:PBS6 PBY6:PCA6 PCG6:PCI6 PCO6:PCQ6 PCW6:PCY6 PDE6:PDG6 PDM6:PDO6 PDU6:PDW6 PEC6:PEE6 PEK6:PEM6 PES6:PEU6 PFA6:PFC6 PFI6:PFK6 PFQ6:PFS6 PFY6:PGA6 PGG6:PGI6 PGO6:PGQ6 PGW6:PGY6 PHE6:PHG6 PHM6:PHO6 PHU6:PHW6 PIC6:PIE6 PIK6:PIM6 PIS6:PIU6 PJA6:PJC6 PJI6:PJK6 PJQ6:PJS6 PJY6:PKA6 PKG6:PKI6 PKO6:PKQ6 PKW6:PKY6 PLE6:PLG6 PLM6:PLO6 PLU6:PLW6 PMC6:PME6 PMK6:PMM6 PMS6:PMU6 PNA6:PNC6 PNI6:PNK6 PNQ6:PNS6 PNY6:POA6 POG6:POI6 POO6:POQ6 POW6:POY6 PPE6:PPG6 PPM6:PPO6 PPU6:PPW6 PQC6:PQE6 PQK6:PQM6 PQS6:PQU6 PRA6:PRC6 PRI6:PRK6 PRQ6:PRS6 PRY6:PSA6 PSG6:PSI6 PSO6:PSQ6 PSW6:PSY6 PTE6:PTG6 PTM6:PTO6 PTU6:PTW6 PUC6:PUE6 PUK6:PUM6 PUS6:PUU6 PVA6:PVC6 PVI6:PVK6 PVQ6:PVS6 PVY6:PWA6 PWG6:PWI6 PWO6:PWQ6 PWW6:PWY6 PXE6:PXG6 PXM6:PXO6 PXU6:PXW6 PYC6:PYE6 PYK6:PYM6 PYS6:PYU6 PZA6:PZC6 PZI6:PZK6 PZQ6:PZS6 PZY6:QAA6 QAG6:QAI6 QAO6:QAQ6 QAW6:QAY6 QBE6:QBG6 QBM6:QBO6 QBU6:QBW6 QCC6:QCE6 QCK6:QCM6 QCS6:QCU6 QDA6:QDC6 QDI6:QDK6 QDQ6:QDS6 QDY6:QEA6 QEG6:QEI6 QEO6:QEQ6 QEW6:QEY6 QFE6:QFG6 QFM6:QFO6 QFU6:QFW6 QGC6:QGE6 QGK6:QGM6 QGS6:QGU6 QHA6:QHC6 QHI6:QHK6 QHQ6:QHS6 QHY6:QIA6 QIG6:QII6 QIO6:QIQ6 QIW6:QIY6 QJE6:QJG6 QJM6:QJO6 QJU6:QJW6 QKC6:QKE6 QKK6:QKM6 QKS6:QKU6 QLA6:QLC6 QLI6:QLK6 QLQ6:QLS6 QLY6:QMA6 QMG6:QMI6 QMO6:QMQ6 QMW6:QMY6 QNE6:QNG6 QNM6:QNO6 QNU6:QNW6 QOC6:QOE6 QOK6:QOM6 QOS6:QOU6 QPA6:QPC6 QPI6:QPK6 QPQ6:QPS6 QPY6:QQA6 QQG6:QQI6 QQO6:QQQ6 QQW6:QQY6 QRE6:QRG6 QRM6:QRO6 QRU6:QRW6 QSC6:QSE6 QSK6:QSM6 QSS6:QSU6 QTA6:QTC6 QTI6:QTK6 QTQ6:QTS6 QTY6:QUA6 QUG6:QUI6 QUO6:QUQ6 QUW6:QUY6 QVE6:QVG6 QVM6:QVO6 QVU6:QVW6 QWC6:QWE6 QWK6:QWM6 QWS6:QWU6 QXA6:QXC6 QXI6:QXK6 QXQ6:QXS6 QXY6:QYA6 QYG6:QYI6 QYO6:QYQ6 QYW6:QYY6 QZE6:QZG6 QZM6:QZO6 QZU6:QZW6 RAC6:RAE6 RAK6:RAM6 RAS6:RAU6 RBA6:RBC6 RBI6:RBK6 RBQ6:RBS6 RBY6:RCA6 RCG6:RCI6 RCO6:RCQ6 RCW6:RCY6 RDE6:RDG6 RDM6:RDO6 RDU6:RDW6 REC6:REE6 REK6:REM6 RES6:REU6 RFA6:RFC6 RFI6:RFK6 RFQ6:RFS6 RFY6:RGA6 RGG6:RGI6 RGO6:RGQ6 RGW6:RGY6 RHE6:RHG6 RHM6:RHO6 RHU6:RHW6 RIC6:RIE6 RIK6:RIM6 RIS6:RIU6 RJA6:RJC6 RJI6:RJK6 RJQ6:RJS6 RJY6:RKA6 RKG6:RKI6 RKO6:RKQ6 RKW6:RKY6 RLE6:RLG6 RLM6:RLO6 RLU6:RLW6 RMC6:RME6 RMK6:RMM6 RMS6:RMU6 RNA6:RNC6 RNI6:RNK6 RNQ6:RNS6 RNY6:ROA6 ROG6:ROI6 ROO6:ROQ6 ROW6:ROY6 RPE6:RPG6 RPM6:RPO6 RPU6:RPW6 RQC6:RQE6 RQK6:RQM6 RQS6:RQU6 RRA6:RRC6 RRI6:RRK6 RRQ6:RRS6 RRY6:RSA6 RSG6:RSI6 RSO6:RSQ6 RSW6:RSY6 RTE6:RTG6 RTM6:RTO6 RTU6:RTW6 RUC6:RUE6 RUK6:RUM6 RUS6:RUU6 RVA6:RVC6 RVI6:RVK6 RVQ6:RVS6 RVY6:RWA6 RWG6:RWI6 RWO6:RWQ6 RWW6:RWY6 RXE6:RXG6 RXM6:RXO6 RXU6:RXW6 RYC6:RYE6 RYK6:RYM6 RYS6:RYU6 RZA6:RZC6 RZI6:RZK6 RZQ6:RZS6 RZY6:SAA6 SAG6:SAI6 SAO6:SAQ6 SAW6:SAY6 SBE6:SBG6 SBM6:SBO6 SBU6:SBW6 SCC6:SCE6 SCK6:SCM6 SCS6:SCU6 SDA6:SDC6 SDI6:SDK6 SDQ6:SDS6 SDY6:SEA6 SEG6:SEI6 SEO6:SEQ6 SEW6:SEY6 SFE6:SFG6 SFM6:SFO6 SFU6:SFW6 SGC6:SGE6 SGK6:SGM6 SGS6:SGU6 SHA6:SHC6 SHI6:SHK6 SHQ6:SHS6 SHY6:SIA6 SIG6:SII6 SIO6:SIQ6 SIW6:SIY6 SJE6:SJG6 SJM6:SJO6 SJU6:SJW6 SKC6:SKE6 SKK6:SKM6 SKS6:SKU6 SLA6:SLC6 SLI6:SLK6 SLQ6:SLS6 SLY6:SMA6 SMG6:SMI6 SMO6:SMQ6 SMW6:SMY6 SNE6:SNG6 SNM6:SNO6 SNU6:SNW6 SOC6:SOE6 SOK6:SOM6 SOS6:SOU6 SPA6:SPC6 SPI6:SPK6 SPQ6:SPS6 SPY6:SQA6 SQG6:SQI6 SQO6:SQQ6 SQW6:SQY6 SRE6:SRG6 SRM6:SRO6 SRU6:SRW6 SSC6:SSE6 SSK6:SSM6 SSS6:SSU6 STA6:STC6 STI6:STK6 STQ6:STS6 STY6:SUA6 SUG6:SUI6 SUO6:SUQ6 SUW6:SUY6 SVE6:SVG6 SVM6:SVO6 SVU6:SVW6 SWC6:SWE6 SWK6:SWM6 SWS6:SWU6 SXA6:SXC6 SXI6:SXK6 SXQ6:SXS6 SXY6:SYA6 SYG6:SYI6 SYO6:SYQ6 SYW6:SYY6 SZE6:SZG6 SZM6:SZO6 SZU6:SZW6 TAC6:TAE6 TAK6:TAM6 TAS6:TAU6 TBA6:TBC6 TBI6:TBK6 TBQ6:TBS6 TBY6:TCA6 TCG6:TCI6 TCO6:TCQ6 TCW6:TCY6 TDE6:TDG6 TDM6:TDO6 TDU6:TDW6 TEC6:TEE6 TEK6:TEM6 TES6:TEU6 TFA6:TFC6 TFI6:TFK6 TFQ6:TFS6 TFY6:TGA6 TGG6:TGI6 TGO6:TGQ6 TGW6:TGY6 THE6:THG6 THM6:THO6 THU6:THW6 TIC6:TIE6 TIK6:TIM6 TIS6:TIU6 TJA6:TJC6 TJI6:TJK6 TJQ6:TJS6 TJY6:TKA6 TKG6:TKI6 TKO6:TKQ6 TKW6:TKY6 TLE6:TLG6 TLM6:TLO6 TLU6:TLW6 TMC6:TME6 TMK6:TMM6 TMS6:TMU6 TNA6:TNC6 TNI6:TNK6 TNQ6:TNS6 TNY6:TOA6 TOG6:TOI6 TOO6:TOQ6 TOW6:TOY6 TPE6:TPG6 TPM6:TPO6 TPU6:TPW6 TQC6:TQE6 TQK6:TQM6 TQS6:TQU6 TRA6:TRC6 TRI6:TRK6 TRQ6:TRS6 TRY6:TSA6 TSG6:TSI6 TSO6:TSQ6 TSW6:TSY6 TTE6:TTG6 TTM6:TTO6 TTU6:TTW6 TUC6:TUE6 TUK6:TUM6 TUS6:TUU6 TVA6:TVC6 TVI6:TVK6 TVQ6:TVS6 TVY6:TWA6 TWG6:TWI6 TWO6:TWQ6 TWW6:TWY6 TXE6:TXG6 TXM6:TXO6 TXU6:TXW6 TYC6:TYE6 TYK6:TYM6 TYS6:TYU6 TZA6:TZC6 TZI6:TZK6 TZQ6:TZS6 TZY6:UAA6 UAG6:UAI6 UAO6:UAQ6 UAW6:UAY6 UBE6:UBG6 UBM6:UBO6 UBU6:UBW6 UCC6:UCE6 UCK6:UCM6 UCS6:UCU6 UDA6:UDC6 UDI6:UDK6 UDQ6:UDS6 UDY6:UEA6 UEG6:UEI6 UEO6:UEQ6 UEW6:UEY6 UFE6:UFG6 UFM6:UFO6 UFU6:UFW6 UGC6:UGE6 UGK6:UGM6 UGS6:UGU6 UHA6:UHC6 UHI6:UHK6 UHQ6:UHS6 UHY6:UIA6 UIG6:UII6 UIO6:UIQ6 UIW6:UIY6 UJE6:UJG6 UJM6:UJO6 UJU6:UJW6 UKC6:UKE6 UKK6:UKM6 UKS6:UKU6 ULA6:ULC6 ULI6:ULK6 ULQ6:ULS6 ULY6:UMA6 UMG6:UMI6 UMO6:UMQ6 UMW6:UMY6 UNE6:UNG6 UNM6:UNO6 UNU6:UNW6 UOC6:UOE6 UOK6:UOM6 UOS6:UOU6 UPA6:UPC6 UPI6:UPK6 UPQ6:UPS6 UPY6:UQA6 UQG6:UQI6 UQO6:UQQ6 UQW6:UQY6 URE6:URG6 URM6:URO6 URU6:URW6 USC6:USE6 USK6:USM6 USS6:USU6 UTA6:UTC6 UTI6:UTK6 UTQ6:UTS6 UTY6:UUA6 UUG6:UUI6 UUO6:UUQ6 UUW6:UUY6 UVE6:UVG6 UVM6:UVO6 UVU6:UVW6 UWC6:UWE6 UWK6:UWM6 UWS6:UWU6 UXA6:UXC6 UXI6:UXK6 UXQ6:UXS6 UXY6:UYA6 UYG6:UYI6 UYO6:UYQ6 UYW6:UYY6 UZE6:UZG6 UZM6:UZO6 UZU6:UZW6 VAC6:VAE6 VAK6:VAM6 VAS6:VAU6 VBA6:VBC6 VBI6:VBK6 VBQ6:VBS6 VBY6:VCA6 VCG6:VCI6 VCO6:VCQ6 VCW6:VCY6 VDE6:VDG6 VDM6:VDO6 VDU6:VDW6 VEC6:VEE6 VEK6:VEM6 VES6:VEU6 VFA6:VFC6 VFI6:VFK6 VFQ6:VFS6 VFY6:VGA6 VGG6:VGI6 VGO6:VGQ6 VGW6:VGY6 VHE6:VHG6 VHM6:VHO6 VHU6:VHW6 VIC6:VIE6 VIK6:VIM6 VIS6:VIU6 VJA6:VJC6 VJI6:VJK6 VJQ6:VJS6 VJY6:VKA6 VKG6:VKI6 VKO6:VKQ6 VKW6:VKY6 VLE6:VLG6 VLM6:VLO6 VLU6:VLW6 VMC6:VME6 VMK6:VMM6 VMS6:VMU6 VNA6:VNC6 VNI6:VNK6 VNQ6:VNS6 VNY6:VOA6 VOG6:VOI6 VOO6:VOQ6 VOW6:VOY6 VPE6:VPG6 VPM6:VPO6 VPU6:VPW6 VQC6:VQE6 VQK6:VQM6 VQS6:VQU6 VRA6:VRC6 VRI6:VRK6 VRQ6:VRS6 VRY6:VSA6 VSG6:VSI6 VSO6:VSQ6 VSW6:VSY6 VTE6:VTG6 VTM6:VTO6 VTU6:VTW6 VUC6:VUE6 VUK6:VUM6 VUS6:VUU6 VVA6:VVC6 VVI6:VVK6 VVQ6:VVS6 VVY6:VWA6 VWG6:VWI6 VWO6:VWQ6 VWW6:VWY6 VXE6:VXG6 VXM6:VXO6 VXU6:VXW6 VYC6:VYE6 VYK6:VYM6 VYS6:VYU6 VZA6:VZC6 VZI6:VZK6 VZQ6:VZS6 VZY6:WAA6 WAG6:WAI6 WAO6:WAQ6 WAW6:WAY6 WBE6:WBG6 WBM6:WBO6 WBU6:WBW6 WCC6:WCE6 WCK6:WCM6 WCS6:WCU6 WDA6:WDC6 WDI6:WDK6 WDQ6:WDS6 WDY6:WEA6 WEG6:WEI6 WEO6:WEQ6 WEW6:WEY6 WFE6:WFG6 WFM6:WFO6 WFU6:WFW6 WGC6:WGE6 WGK6:WGM6 WGS6:WGU6 WHA6:WHC6 WHI6:WHK6 WHQ6:WHS6 WHY6:WIA6 WIG6:WII6 WIO6:WIQ6 WIW6:WIY6 WJE6:WJG6 WJM6:WJO6 WJU6:WJW6 WKC6:WKE6 WKK6:WKM6 WKS6:WKU6 WLA6:WLC6 WLI6:WLK6 WLQ6:WLS6 WLY6:WMA6 WMG6:WMI6 WMO6:WMQ6 WMW6:WMY6 WNE6:WNG6 WNM6:WNO6 WNU6:WNW6 WOC6:WOE6 WOK6:WOM6 WOS6:WOU6 WPA6:WPC6 WPI6:WPK6 WPQ6:WPS6 WPY6:WQA6 WQG6:WQI6 WQO6:WQQ6 WQW6:WQY6 WRE6:WRG6 WRM6:WRO6 WRU6:WRW6 WSC6:WSE6 WSK6:WSM6 WSS6:WSU6 WTA6:WTC6 WTI6:WTK6 WTQ6:WTS6 WTY6:WUA6 WUG6:WUI6 WUO6:WUQ6 WUW6:WUY6 WVE6:WVG6 WVM6:WVO6 WVU6:WVW6 WWC6:WWE6 WWK6:WWM6 WWS6:WWU6 WXA6:WXC6 WXI6:WXK6 WXQ6:WXS6 WXY6:WYA6 WYG6:WYI6 WYO6:WYQ6 WYW6:WYY6 WZE6:WZG6 WZM6:WZO6 WZU6:WZW6 XAC6:XAE6 XAK6:XAM6 XAS6:XAU6 XBA6:XBC6 XBI6:XBK6 XBQ6:XBS6 XBY6:XCA6 XCG6:XCI6 XCO6:XCQ6 XCW6:XCY6 XDE6:XDG6 XDM6:XDO6 XDU6:XDW6 XEC6:XEE6 XEK6:XEM6 XES6:XEU6 XFA6:XFD6 E6:G6" name="Intervalo6"/>
    <protectedRange sqref="H5 Q6 Y6 AG6 AO6 AW6 BE6 BM6 BU6 CC6 CK6 CS6 DA6 DI6 DQ6 DY6 EG6 EO6 EW6 FE6 FM6 FU6 GC6 GK6 GS6 HA6 HI6 HQ6 HY6 IG6 IO6 IW6 JE6 JM6 JU6 KC6 KK6 KS6 LA6 LI6 LQ6 LY6 MG6 MO6 MW6 NE6 NM6 NU6 OC6 OK6 OS6 PA6 PI6 PQ6 PY6 QG6 QO6 QW6 RE6 RM6 RU6 SC6 SK6 SS6 TA6 TI6 TQ6 TY6 UG6 UO6 UW6 VE6 VM6 VU6 WC6 WK6 WS6 XA6 XI6 XQ6 XY6 YG6 YO6 YW6 ZE6 ZM6 ZU6 AAC6 AAK6 AAS6 ABA6 ABI6 ABQ6 ABY6 ACG6 ACO6 ACW6 ADE6 ADM6 ADU6 AEC6 AEK6 AES6 AFA6 AFI6 AFQ6 AFY6 AGG6 AGO6 AGW6 AHE6 AHM6 AHU6 AIC6 AIK6 AIS6 AJA6 AJI6 AJQ6 AJY6 AKG6 AKO6 AKW6 ALE6 ALM6 ALU6 AMC6 AMK6 AMS6 ANA6 ANI6 ANQ6 ANY6 AOG6 AOO6 AOW6 APE6 APM6 APU6 AQC6 AQK6 AQS6 ARA6 ARI6 ARQ6 ARY6 ASG6 ASO6 ASW6 ATE6 ATM6 ATU6 AUC6 AUK6 AUS6 AVA6 AVI6 AVQ6 AVY6 AWG6 AWO6 AWW6 AXE6 AXM6 AXU6 AYC6 AYK6 AYS6 AZA6 AZI6 AZQ6 AZY6 BAG6 BAO6 BAW6 BBE6 BBM6 BBU6 BCC6 BCK6 BCS6 BDA6 BDI6 BDQ6 BDY6 BEG6 BEO6 BEW6 BFE6 BFM6 BFU6 BGC6 BGK6 BGS6 BHA6 BHI6 BHQ6 BHY6 BIG6 BIO6 BIW6 BJE6 BJM6 BJU6 BKC6 BKK6 BKS6 BLA6 BLI6 BLQ6 BLY6 BMG6 BMO6 BMW6 BNE6 BNM6 BNU6 BOC6 BOK6 BOS6 BPA6 BPI6 BPQ6 BPY6 BQG6 BQO6 BQW6 BRE6 BRM6 BRU6 BSC6 BSK6 BSS6 BTA6 BTI6 BTQ6 BTY6 BUG6 BUO6 BUW6 BVE6 BVM6 BVU6 BWC6 BWK6 BWS6 BXA6 BXI6 BXQ6 BXY6 BYG6 BYO6 BYW6 BZE6 BZM6 BZU6 CAC6 CAK6 CAS6 CBA6 CBI6 CBQ6 CBY6 CCG6 CCO6 CCW6 CDE6 CDM6 CDU6 CEC6 CEK6 CES6 CFA6 CFI6 CFQ6 CFY6 CGG6 CGO6 CGW6 CHE6 CHM6 CHU6 CIC6 CIK6 CIS6 CJA6 CJI6 CJQ6 CJY6 CKG6 CKO6 CKW6 CLE6 CLM6 CLU6 CMC6 CMK6 CMS6 CNA6 CNI6 CNQ6 CNY6 COG6 COO6 COW6 CPE6 CPM6 CPU6 CQC6 CQK6 CQS6 CRA6 CRI6 CRQ6 CRY6 CSG6 CSO6 CSW6 CTE6 CTM6 CTU6 CUC6 CUK6 CUS6 CVA6 CVI6 CVQ6 CVY6 CWG6 CWO6 CWW6 CXE6 CXM6 CXU6 CYC6 CYK6 CYS6 CZA6 CZI6 CZQ6 CZY6 DAG6 DAO6 DAW6 DBE6 DBM6 DBU6 DCC6 DCK6 DCS6 DDA6 DDI6 DDQ6 DDY6 DEG6 DEO6 DEW6 DFE6 DFM6 DFU6 DGC6 DGK6 DGS6 DHA6 DHI6 DHQ6 DHY6 DIG6 DIO6 DIW6 DJE6 DJM6 DJU6 DKC6 DKK6 DKS6 DLA6 DLI6 DLQ6 DLY6 DMG6 DMO6 DMW6 DNE6 DNM6 DNU6 DOC6 DOK6 DOS6 DPA6 DPI6 DPQ6 DPY6 DQG6 DQO6 DQW6 DRE6 DRM6 DRU6 DSC6 DSK6 DSS6 DTA6 DTI6 DTQ6 DTY6 DUG6 DUO6 DUW6 DVE6 DVM6 DVU6 DWC6 DWK6 DWS6 DXA6 DXI6 DXQ6 DXY6 DYG6 DYO6 DYW6 DZE6 DZM6 DZU6 EAC6 EAK6 EAS6 EBA6 EBI6 EBQ6 EBY6 ECG6 ECO6 ECW6 EDE6 EDM6 EDU6 EEC6 EEK6 EES6 EFA6 EFI6 EFQ6 EFY6 EGG6 EGO6 EGW6 EHE6 EHM6 EHU6 EIC6 EIK6 EIS6 EJA6 EJI6 EJQ6 EJY6 EKG6 EKO6 EKW6 ELE6 ELM6 ELU6 EMC6 EMK6 EMS6 ENA6 ENI6 ENQ6 ENY6 EOG6 EOO6 EOW6 EPE6 EPM6 EPU6 EQC6 EQK6 EQS6 ERA6 ERI6 ERQ6 ERY6 ESG6 ESO6 ESW6 ETE6 ETM6 ETU6 EUC6 EUK6 EUS6 EVA6 EVI6 EVQ6 EVY6 EWG6 EWO6 EWW6 EXE6 EXM6 EXU6 EYC6 EYK6 EYS6 EZA6 EZI6 EZQ6 EZY6 FAG6 FAO6 FAW6 FBE6 FBM6 FBU6 FCC6 FCK6 FCS6 FDA6 FDI6 FDQ6 FDY6 FEG6 FEO6 FEW6 FFE6 FFM6 FFU6 FGC6 FGK6 FGS6 FHA6 FHI6 FHQ6 FHY6 FIG6 FIO6 FIW6 FJE6 FJM6 FJU6 FKC6 FKK6 FKS6 FLA6 FLI6 FLQ6 FLY6 FMG6 FMO6 FMW6 FNE6 FNM6 FNU6 FOC6 FOK6 FOS6 FPA6 FPI6 FPQ6 FPY6 FQG6 FQO6 FQW6 FRE6 FRM6 FRU6 FSC6 FSK6 FSS6 FTA6 FTI6 FTQ6 FTY6 FUG6 FUO6 FUW6 FVE6 FVM6 FVU6 FWC6 FWK6 FWS6 FXA6 FXI6 FXQ6 FXY6 FYG6 FYO6 FYW6 FZE6 FZM6 FZU6 GAC6 GAK6 GAS6 GBA6 GBI6 GBQ6 GBY6 GCG6 GCO6 GCW6 GDE6 GDM6 GDU6 GEC6 GEK6 GES6 GFA6 GFI6 GFQ6 GFY6 GGG6 GGO6 GGW6 GHE6 GHM6 GHU6 GIC6 GIK6 GIS6 GJA6 GJI6 GJQ6 GJY6 GKG6 GKO6 GKW6 GLE6 GLM6 GLU6 GMC6 GMK6 GMS6 GNA6 GNI6 GNQ6 GNY6 GOG6 GOO6 GOW6 GPE6 GPM6 GPU6 GQC6 GQK6 GQS6 GRA6 GRI6 GRQ6 GRY6 GSG6 GSO6 GSW6 GTE6 GTM6 GTU6 GUC6 GUK6 GUS6 GVA6 GVI6 GVQ6 GVY6 GWG6 GWO6 GWW6 GXE6 GXM6 GXU6 GYC6 GYK6 GYS6 GZA6 GZI6 GZQ6 GZY6 HAG6 HAO6 HAW6 HBE6 HBM6 HBU6 HCC6 HCK6 HCS6 HDA6 HDI6 HDQ6 HDY6 HEG6 HEO6 HEW6 HFE6 HFM6 HFU6 HGC6 HGK6 HGS6 HHA6 HHI6 HHQ6 HHY6 HIG6 HIO6 HIW6 HJE6 HJM6 HJU6 HKC6 HKK6 HKS6 HLA6 HLI6 HLQ6 HLY6 HMG6 HMO6 HMW6 HNE6 HNM6 HNU6 HOC6 HOK6 HOS6 HPA6 HPI6 HPQ6 HPY6 HQG6 HQO6 HQW6 HRE6 HRM6 HRU6 HSC6 HSK6 HSS6 HTA6 HTI6 HTQ6 HTY6 HUG6 HUO6 HUW6 HVE6 HVM6 HVU6 HWC6 HWK6 HWS6 HXA6 HXI6 HXQ6 HXY6 HYG6 HYO6 HYW6 HZE6 HZM6 HZU6 IAC6 IAK6 IAS6 IBA6 IBI6 IBQ6 IBY6 ICG6 ICO6 ICW6 IDE6 IDM6 IDU6 IEC6 IEK6 IES6 IFA6 IFI6 IFQ6 IFY6 IGG6 IGO6 IGW6 IHE6 IHM6 IHU6 IIC6 IIK6 IIS6 IJA6 IJI6 IJQ6 IJY6 IKG6 IKO6 IKW6 ILE6 ILM6 ILU6 IMC6 IMK6 IMS6 INA6 INI6 INQ6 INY6 IOG6 IOO6 IOW6 IPE6 IPM6 IPU6 IQC6 IQK6 IQS6 IRA6 IRI6 IRQ6 IRY6 ISG6 ISO6 ISW6 ITE6 ITM6 ITU6 IUC6 IUK6 IUS6 IVA6 IVI6 IVQ6 IVY6 IWG6 IWO6 IWW6 IXE6 IXM6 IXU6 IYC6 IYK6 IYS6 IZA6 IZI6 IZQ6 IZY6 JAG6 JAO6 JAW6 JBE6 JBM6 JBU6 JCC6 JCK6 JCS6 JDA6 JDI6 JDQ6 JDY6 JEG6 JEO6 JEW6 JFE6 JFM6 JFU6 JGC6 JGK6 JGS6 JHA6 JHI6 JHQ6 JHY6 JIG6 JIO6 JIW6 JJE6 JJM6 JJU6 JKC6 JKK6 JKS6 JLA6 JLI6 JLQ6 JLY6 JMG6 JMO6 JMW6 JNE6 JNM6 JNU6 JOC6 JOK6 JOS6 JPA6 JPI6 JPQ6 JPY6 JQG6 JQO6 JQW6 JRE6 JRM6 JRU6 JSC6 JSK6 JSS6 JTA6 JTI6 JTQ6 JTY6 JUG6 JUO6 JUW6 JVE6 JVM6 JVU6 JWC6 JWK6 JWS6 JXA6 JXI6 JXQ6 JXY6 JYG6 JYO6 JYW6 JZE6 JZM6 JZU6 KAC6 KAK6 KAS6 KBA6 KBI6 KBQ6 KBY6 KCG6 KCO6 KCW6 KDE6 KDM6 KDU6 KEC6 KEK6 KES6 KFA6 KFI6 KFQ6 KFY6 KGG6 KGO6 KGW6 KHE6 KHM6 KHU6 KIC6 KIK6 KIS6 KJA6 KJI6 KJQ6 KJY6 KKG6 KKO6 KKW6 KLE6 KLM6 KLU6 KMC6 KMK6 KMS6 KNA6 KNI6 KNQ6 KNY6 KOG6 KOO6 KOW6 KPE6 KPM6 KPU6 KQC6 KQK6 KQS6 KRA6 KRI6 KRQ6 KRY6 KSG6 KSO6 KSW6 KTE6 KTM6 KTU6 KUC6 KUK6 KUS6 KVA6 KVI6 KVQ6 KVY6 KWG6 KWO6 KWW6 KXE6 KXM6 KXU6 KYC6 KYK6 KYS6 KZA6 KZI6 KZQ6 KZY6 LAG6 LAO6 LAW6 LBE6 LBM6 LBU6 LCC6 LCK6 LCS6 LDA6 LDI6 LDQ6 LDY6 LEG6 LEO6 LEW6 LFE6 LFM6 LFU6 LGC6 LGK6 LGS6 LHA6 LHI6 LHQ6 LHY6 LIG6 LIO6 LIW6 LJE6 LJM6 LJU6 LKC6 LKK6 LKS6 LLA6 LLI6 LLQ6 LLY6 LMG6 LMO6 LMW6 LNE6 LNM6 LNU6 LOC6 LOK6 LOS6 LPA6 LPI6 LPQ6 LPY6 LQG6 LQO6 LQW6 LRE6 LRM6 LRU6 LSC6 LSK6 LSS6 LTA6 LTI6 LTQ6 LTY6 LUG6 LUO6 LUW6 LVE6 LVM6 LVU6 LWC6 LWK6 LWS6 LXA6 LXI6 LXQ6 LXY6 LYG6 LYO6 LYW6 LZE6 LZM6 LZU6 MAC6 MAK6 MAS6 MBA6 MBI6 MBQ6 MBY6 MCG6 MCO6 MCW6 MDE6 MDM6 MDU6 MEC6 MEK6 MES6 MFA6 MFI6 MFQ6 MFY6 MGG6 MGO6 MGW6 MHE6 MHM6 MHU6 MIC6 MIK6 MIS6 MJA6 MJI6 MJQ6 MJY6 MKG6 MKO6 MKW6 MLE6 MLM6 MLU6 MMC6 MMK6 MMS6 MNA6 MNI6 MNQ6 MNY6 MOG6 MOO6 MOW6 MPE6 MPM6 MPU6 MQC6 MQK6 MQS6 MRA6 MRI6 MRQ6 MRY6 MSG6 MSO6 MSW6 MTE6 MTM6 MTU6 MUC6 MUK6 MUS6 MVA6 MVI6 MVQ6 MVY6 MWG6 MWO6 MWW6 MXE6 MXM6 MXU6 MYC6 MYK6 MYS6 MZA6 MZI6 MZQ6 MZY6 NAG6 NAO6 NAW6 NBE6 NBM6 NBU6 NCC6 NCK6 NCS6 NDA6 NDI6 NDQ6 NDY6 NEG6 NEO6 NEW6 NFE6 NFM6 NFU6 NGC6 NGK6 NGS6 NHA6 NHI6 NHQ6 NHY6 NIG6 NIO6 NIW6 NJE6 NJM6 NJU6 NKC6 NKK6 NKS6 NLA6 NLI6 NLQ6 NLY6 NMG6 NMO6 NMW6 NNE6 NNM6 NNU6 NOC6 NOK6 NOS6 NPA6 NPI6 NPQ6 NPY6 NQG6 NQO6 NQW6 NRE6 NRM6 NRU6 NSC6 NSK6 NSS6 NTA6 NTI6 NTQ6 NTY6 NUG6 NUO6 NUW6 NVE6 NVM6 NVU6 NWC6 NWK6 NWS6 NXA6 NXI6 NXQ6 NXY6 NYG6 NYO6 NYW6 NZE6 NZM6 NZU6 OAC6 OAK6 OAS6 OBA6 OBI6 OBQ6 OBY6 OCG6 OCO6 OCW6 ODE6 ODM6 ODU6 OEC6 OEK6 OES6 OFA6 OFI6 OFQ6 OFY6 OGG6 OGO6 OGW6 OHE6 OHM6 OHU6 OIC6 OIK6 OIS6 OJA6 OJI6 OJQ6 OJY6 OKG6 OKO6 OKW6 OLE6 OLM6 OLU6 OMC6 OMK6 OMS6 ONA6 ONI6 ONQ6 ONY6 OOG6 OOO6 OOW6 OPE6 OPM6 OPU6 OQC6 OQK6 OQS6 ORA6 ORI6 ORQ6 ORY6 OSG6 OSO6 OSW6 OTE6 OTM6 OTU6 OUC6 OUK6 OUS6 OVA6 OVI6 OVQ6 OVY6 OWG6 OWO6 OWW6 OXE6 OXM6 OXU6 OYC6 OYK6 OYS6 OZA6 OZI6 OZQ6 OZY6 PAG6 PAO6 PAW6 PBE6 PBM6 PBU6 PCC6 PCK6 PCS6 PDA6 PDI6 PDQ6 PDY6 PEG6 PEO6 PEW6 PFE6 PFM6 PFU6 PGC6 PGK6 PGS6 PHA6 PHI6 PHQ6 PHY6 PIG6 PIO6 PIW6 PJE6 PJM6 PJU6 PKC6 PKK6 PKS6 PLA6 PLI6 PLQ6 PLY6 PMG6 PMO6 PMW6 PNE6 PNM6 PNU6 POC6 POK6 POS6 PPA6 PPI6 PPQ6 PPY6 PQG6 PQO6 PQW6 PRE6 PRM6 PRU6 PSC6 PSK6 PSS6 PTA6 PTI6 PTQ6 PTY6 PUG6 PUO6 PUW6 PVE6 PVM6 PVU6 PWC6 PWK6 PWS6 PXA6 PXI6 PXQ6 PXY6 PYG6 PYO6 PYW6 PZE6 PZM6 PZU6 QAC6 QAK6 QAS6 QBA6 QBI6 QBQ6 QBY6 QCG6 QCO6 QCW6 QDE6 QDM6 QDU6 QEC6 QEK6 QES6 QFA6 QFI6 QFQ6 QFY6 QGG6 QGO6 QGW6 QHE6 QHM6 QHU6 QIC6 QIK6 QIS6 QJA6 QJI6 QJQ6 QJY6 QKG6 QKO6 QKW6 QLE6 QLM6 QLU6 QMC6 QMK6 QMS6 QNA6 QNI6 QNQ6 QNY6 QOG6 QOO6 QOW6 QPE6 QPM6 QPU6 QQC6 QQK6 QQS6 QRA6 QRI6 QRQ6 QRY6 QSG6 QSO6 QSW6 QTE6 QTM6 QTU6 QUC6 QUK6 QUS6 QVA6 QVI6 QVQ6 QVY6 QWG6 QWO6 QWW6 QXE6 QXM6 QXU6 QYC6 QYK6 QYS6 QZA6 QZI6 QZQ6 QZY6 RAG6 RAO6 RAW6 RBE6 RBM6 RBU6 RCC6 RCK6 RCS6 RDA6 RDI6 RDQ6 RDY6 REG6 REO6 REW6 RFE6 RFM6 RFU6 RGC6 RGK6 RGS6 RHA6 RHI6 RHQ6 RHY6 RIG6 RIO6 RIW6 RJE6 RJM6 RJU6 RKC6 RKK6 RKS6 RLA6 RLI6 RLQ6 RLY6 RMG6 RMO6 RMW6 RNE6 RNM6 RNU6 ROC6 ROK6 ROS6 RPA6 RPI6 RPQ6 RPY6 RQG6 RQO6 RQW6 RRE6 RRM6 RRU6 RSC6 RSK6 RSS6 RTA6 RTI6 RTQ6 RTY6 RUG6 RUO6 RUW6 RVE6 RVM6 RVU6 RWC6 RWK6 RWS6 RXA6 RXI6 RXQ6 RXY6 RYG6 RYO6 RYW6 RZE6 RZM6 RZU6 SAC6 SAK6 SAS6 SBA6 SBI6 SBQ6 SBY6 SCG6 SCO6 SCW6 SDE6 SDM6 SDU6 SEC6 SEK6 SES6 SFA6 SFI6 SFQ6 SFY6 SGG6 SGO6 SGW6 SHE6 SHM6 SHU6 SIC6 SIK6 SIS6 SJA6 SJI6 SJQ6 SJY6 SKG6 SKO6 SKW6 SLE6 SLM6 SLU6 SMC6 SMK6 SMS6 SNA6 SNI6 SNQ6 SNY6 SOG6 SOO6 SOW6 SPE6 SPM6 SPU6 SQC6 SQK6 SQS6 SRA6 SRI6 SRQ6 SRY6 SSG6 SSO6 SSW6 STE6 STM6 STU6 SUC6 SUK6 SUS6 SVA6 SVI6 SVQ6 SVY6 SWG6 SWO6 SWW6 SXE6 SXM6 SXU6 SYC6 SYK6 SYS6 SZA6 SZI6 SZQ6 SZY6 TAG6 TAO6 TAW6 TBE6 TBM6 TBU6 TCC6 TCK6 TCS6 TDA6 TDI6 TDQ6 TDY6 TEG6 TEO6 TEW6 TFE6 TFM6 TFU6 TGC6 TGK6 TGS6 THA6 THI6 THQ6 THY6 TIG6 TIO6 TIW6 TJE6 TJM6 TJU6 TKC6 TKK6 TKS6 TLA6 TLI6 TLQ6 TLY6 TMG6 TMO6 TMW6 TNE6 TNM6 TNU6 TOC6 TOK6 TOS6 TPA6 TPI6 TPQ6 TPY6 TQG6 TQO6 TQW6 TRE6 TRM6 TRU6 TSC6 TSK6 TSS6 TTA6 TTI6 TTQ6 TTY6 TUG6 TUO6 TUW6 TVE6 TVM6 TVU6 TWC6 TWK6 TWS6 TXA6 TXI6 TXQ6 TXY6 TYG6 TYO6 TYW6 TZE6 TZM6 TZU6 UAC6 UAK6 UAS6 UBA6 UBI6 UBQ6 UBY6 UCG6 UCO6 UCW6 UDE6 UDM6 UDU6 UEC6 UEK6 UES6 UFA6 UFI6 UFQ6 UFY6 UGG6 UGO6 UGW6 UHE6 UHM6 UHU6 UIC6 UIK6 UIS6 UJA6 UJI6 UJQ6 UJY6 UKG6 UKO6 UKW6 ULE6 ULM6 ULU6 UMC6 UMK6 UMS6 UNA6 UNI6 UNQ6 UNY6 UOG6 UOO6 UOW6 UPE6 UPM6 UPU6 UQC6 UQK6 UQS6 URA6 URI6 URQ6 URY6 USG6 USO6 USW6 UTE6 UTM6 UTU6 UUC6 UUK6 UUS6 UVA6 UVI6 UVQ6 UVY6 UWG6 UWO6 UWW6 UXE6 UXM6 UXU6 UYC6 UYK6 UYS6 UZA6 UZI6 UZQ6 UZY6 VAG6 VAO6 VAW6 VBE6 VBM6 VBU6 VCC6 VCK6 VCS6 VDA6 VDI6 VDQ6 VDY6 VEG6 VEO6 VEW6 VFE6 VFM6 VFU6 VGC6 VGK6 VGS6 VHA6 VHI6 VHQ6 VHY6 VIG6 VIO6 VIW6 VJE6 VJM6 VJU6 VKC6 VKK6 VKS6 VLA6 VLI6 VLQ6 VLY6 VMG6 VMO6 VMW6 VNE6 VNM6 VNU6 VOC6 VOK6 VOS6 VPA6 VPI6 VPQ6 VPY6 VQG6 VQO6 VQW6 VRE6 VRM6 VRU6 VSC6 VSK6 VSS6 VTA6 VTI6 VTQ6 VTY6 VUG6 VUO6 VUW6 VVE6 VVM6 VVU6 VWC6 VWK6 VWS6 VXA6 VXI6 VXQ6 VXY6 VYG6 VYO6 VYW6 VZE6 VZM6 VZU6 WAC6 WAK6 WAS6 WBA6 WBI6 WBQ6 WBY6 WCG6 WCO6 WCW6 WDE6 WDM6 WDU6 WEC6 WEK6 WES6 WFA6 WFI6 WFQ6 WFY6 WGG6 WGO6 WGW6 WHE6 WHM6 WHU6 WIC6 WIK6 WIS6 WJA6 WJI6 WJQ6 WJY6 WKG6 WKO6 WKW6 WLE6 WLM6 WLU6 WMC6 WMK6 WMS6 WNA6 WNI6 WNQ6 WNY6 WOG6 WOO6 WOW6 WPE6 WPM6 WPU6 WQC6 WQK6 WQS6 WRA6 WRI6 WRQ6 WRY6 WSG6 WSO6 WSW6 WTE6 WTM6 WTU6 WUC6 WUK6 WUS6 WVA6 WVI6 WVQ6 WVY6 WWG6 WWO6 WWW6 WXE6 WXM6 WXU6 WYC6 WYK6 WYS6 WZA6 WZI6 WZQ6 WZY6 XAG6 XAO6 XAW6 XBE6 XBM6 XBU6 XCC6 XCK6 XCS6 XDA6 XDI6 XDQ6 XDY6 XEG6 XEO6 XEW6 I6" name="Intervalo4"/>
  </protectedRanges>
  <mergeCells count="4">
    <mergeCell ref="A3:G3"/>
    <mergeCell ref="A1:H1"/>
    <mergeCell ref="A2:H2"/>
    <mergeCell ref="A12:F12"/>
  </mergeCells>
  <phoneticPr fontId="17" type="noConversion"/>
  <conditionalFormatting sqref="A1:A2 I1:XFD2 A12 G12:XFD12 A13:XFD1048576 A3:XFD11">
    <cfRule type="expression" dxfId="35" priority="1">
      <formula>CELL("proteger",A1)=1</formula>
    </cfRule>
  </conditionalFormatting>
  <printOptions horizontalCentered="1"/>
  <pageMargins left="0.7" right="0.7" top="0.75" bottom="0.75" header="0.3" footer="0.3"/>
  <pageSetup paperSize="9" scale="54" fitToHeight="0" orientation="portrait" r:id="rId1"/>
  <headerFooter scaleWithDoc="0"/>
  <drawing r:id="rId2"/>
  <legacyDrawing r:id="rId3"/>
  <legacyDrawingHF r:id="rId4"/>
  <oleObjects>
    <mc:AlternateContent xmlns:mc="http://schemas.openxmlformats.org/markup-compatibility/2006">
      <mc:Choice Requires="x14">
        <oleObject progId="CorelDraw.Graphic.18" shapeId="29697" r:id="rId5">
          <objectPr defaultSize="0" autoPict="0" r:id="rId6">
            <anchor moveWithCells="1">
              <from>
                <xdr:col>1</xdr:col>
                <xdr:colOff>1285875</xdr:colOff>
                <xdr:row>0</xdr:row>
                <xdr:rowOff>85725</xdr:rowOff>
              </from>
              <to>
                <xdr:col>1</xdr:col>
                <xdr:colOff>2171700</xdr:colOff>
                <xdr:row>0</xdr:row>
                <xdr:rowOff>752475</xdr:rowOff>
              </to>
            </anchor>
          </objectPr>
        </oleObject>
      </mc:Choice>
      <mc:Fallback>
        <oleObject progId="CorelDraw.Graphic.18" shapeId="29697" r:id="rId5"/>
      </mc:Fallback>
    </mc:AlternateContent>
  </oleObject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452436-251C-4A4B-95C9-B42473C6B6A6}">
  <sheetPr>
    <pageSetUpPr fitToPage="1"/>
  </sheetPr>
  <dimension ref="A1:T181"/>
  <sheetViews>
    <sheetView view="pageBreakPreview" zoomScale="70" zoomScaleNormal="70" zoomScaleSheetLayoutView="70" workbookViewId="0">
      <selection activeCell="J146" sqref="J146"/>
    </sheetView>
  </sheetViews>
  <sheetFormatPr defaultRowHeight="14.25"/>
  <cols>
    <col min="1" max="1" width="15.625" style="93" customWidth="1"/>
    <col min="2" max="2" width="17" style="93" customWidth="1"/>
    <col min="3" max="3" width="23.375" style="93" customWidth="1"/>
    <col min="4" max="4" width="15.125" style="93" bestFit="1" customWidth="1"/>
    <col min="5" max="5" width="17.875" style="93" bestFit="1" customWidth="1"/>
    <col min="6" max="6" width="11.125" style="93" customWidth="1"/>
    <col min="7" max="7" width="45.625" style="93" customWidth="1"/>
    <col min="8" max="8" width="9" style="93"/>
    <col min="9" max="9" width="13.25" style="93" bestFit="1" customWidth="1"/>
    <col min="10" max="10" width="12" style="93" bestFit="1" customWidth="1"/>
    <col min="11" max="11" width="16.375" style="93" bestFit="1" customWidth="1"/>
    <col min="12" max="16384" width="9" style="93"/>
  </cols>
  <sheetData>
    <row r="1" spans="1:20" ht="24.75" customHeight="1">
      <c r="A1" s="1410" t="s">
        <v>607</v>
      </c>
      <c r="B1" s="1411"/>
      <c r="C1" s="1411"/>
      <c r="D1" s="1411"/>
      <c r="E1" s="1411"/>
      <c r="F1" s="1411"/>
      <c r="G1" s="1412"/>
    </row>
    <row r="2" spans="1:20">
      <c r="A2" s="1413"/>
      <c r="B2" s="1414"/>
      <c r="C2" s="1414"/>
      <c r="D2" s="1414"/>
      <c r="E2" s="1414"/>
      <c r="F2" s="1414"/>
      <c r="G2" s="1415"/>
    </row>
    <row r="3" spans="1:20" ht="27" customHeight="1" thickBot="1">
      <c r="A3" s="1416"/>
      <c r="B3" s="1417"/>
      <c r="C3" s="1417"/>
      <c r="D3" s="1417"/>
      <c r="E3" s="1417"/>
      <c r="F3" s="1417"/>
      <c r="G3" s="1418"/>
    </row>
    <row r="4" spans="1:20" ht="15.75" thickBot="1">
      <c r="A4" s="339" t="s">
        <v>298</v>
      </c>
      <c r="B4" s="340" t="s">
        <v>299</v>
      </c>
      <c r="C4" s="340" t="s">
        <v>300</v>
      </c>
      <c r="D4" s="340"/>
      <c r="E4" s="340" t="s">
        <v>301</v>
      </c>
      <c r="F4" s="340" t="s">
        <v>17</v>
      </c>
      <c r="G4" s="206" t="s">
        <v>302</v>
      </c>
    </row>
    <row r="5" spans="1:20" ht="120">
      <c r="A5" s="1289" t="s">
        <v>426</v>
      </c>
      <c r="B5" s="1288" t="s">
        <v>386</v>
      </c>
      <c r="C5" s="346" t="s">
        <v>461</v>
      </c>
      <c r="D5" s="346" t="s">
        <v>454</v>
      </c>
      <c r="E5" s="207">
        <v>69361</v>
      </c>
      <c r="F5" s="346" t="s">
        <v>305</v>
      </c>
      <c r="G5" s="352" t="s">
        <v>459</v>
      </c>
      <c r="H5" s="125"/>
      <c r="I5" s="125"/>
      <c r="J5" s="125"/>
      <c r="K5" s="125"/>
      <c r="L5" s="125"/>
      <c r="M5" s="125"/>
      <c r="N5" s="125"/>
      <c r="O5" s="125"/>
      <c r="P5" s="125"/>
      <c r="Q5" s="125"/>
      <c r="R5" s="125"/>
      <c r="S5" s="125"/>
      <c r="T5" s="125"/>
    </row>
    <row r="6" spans="1:20" ht="90">
      <c r="A6" s="1290"/>
      <c r="B6" s="1267"/>
      <c r="C6" s="343" t="s">
        <v>307</v>
      </c>
      <c r="D6" s="346" t="s">
        <v>454</v>
      </c>
      <c r="E6" s="280">
        <f>E5*35%</f>
        <v>24276.35</v>
      </c>
      <c r="F6" s="343" t="s">
        <v>305</v>
      </c>
      <c r="G6" s="347" t="s">
        <v>485</v>
      </c>
      <c r="H6" s="125"/>
      <c r="I6" s="125"/>
      <c r="J6" s="125"/>
      <c r="K6" s="125"/>
      <c r="L6" s="125"/>
      <c r="M6" s="125"/>
      <c r="N6" s="125"/>
      <c r="O6" s="125"/>
      <c r="P6" s="125"/>
      <c r="Q6" s="125"/>
      <c r="R6" s="125"/>
      <c r="S6" s="125"/>
      <c r="T6" s="125"/>
    </row>
    <row r="7" spans="1:20" ht="30">
      <c r="A7" s="1290"/>
      <c r="B7" s="1267"/>
      <c r="C7" s="343" t="s">
        <v>310</v>
      </c>
      <c r="D7" s="346" t="s">
        <v>454</v>
      </c>
      <c r="E7" s="209">
        <v>60</v>
      </c>
      <c r="F7" s="343" t="s">
        <v>311</v>
      </c>
      <c r="G7" s="347" t="s">
        <v>456</v>
      </c>
      <c r="H7" s="125"/>
      <c r="I7" s="125"/>
      <c r="J7" s="125"/>
      <c r="K7" s="125"/>
      <c r="L7" s="125"/>
      <c r="M7" s="125"/>
      <c r="N7" s="125"/>
      <c r="O7" s="125"/>
      <c r="P7" s="125"/>
      <c r="Q7" s="125"/>
      <c r="R7" s="125"/>
      <c r="S7" s="125"/>
      <c r="T7" s="125"/>
    </row>
    <row r="8" spans="1:20" ht="45">
      <c r="A8" s="1290"/>
      <c r="B8" s="1267"/>
      <c r="C8" s="343" t="s">
        <v>313</v>
      </c>
      <c r="D8" s="346" t="s">
        <v>454</v>
      </c>
      <c r="E8" s="280">
        <f>(E5-E6)/E7</f>
        <v>751.41083333333336</v>
      </c>
      <c r="F8" s="343" t="s">
        <v>314</v>
      </c>
      <c r="G8" s="347" t="s">
        <v>315</v>
      </c>
      <c r="H8" s="125"/>
      <c r="I8" s="125"/>
      <c r="J8" s="125"/>
      <c r="K8" s="125"/>
      <c r="L8" s="125"/>
      <c r="M8" s="125"/>
      <c r="N8" s="125"/>
      <c r="O8" s="125"/>
      <c r="P8" s="125"/>
      <c r="Q8" s="125"/>
      <c r="R8" s="125"/>
      <c r="S8" s="125"/>
      <c r="T8" s="125"/>
    </row>
    <row r="9" spans="1:20" ht="15">
      <c r="A9" s="1290"/>
      <c r="B9" s="1267" t="s">
        <v>387</v>
      </c>
      <c r="C9" s="343" t="s">
        <v>316</v>
      </c>
      <c r="D9" s="346" t="s">
        <v>454</v>
      </c>
      <c r="E9" s="210">
        <v>4</v>
      </c>
      <c r="F9" s="343" t="s">
        <v>318</v>
      </c>
      <c r="G9" s="1269" t="s">
        <v>457</v>
      </c>
      <c r="H9" s="125"/>
      <c r="I9" s="125"/>
      <c r="J9" s="125"/>
      <c r="K9" s="125"/>
      <c r="L9" s="125"/>
      <c r="M9" s="125"/>
      <c r="N9" s="125"/>
      <c r="O9" s="125"/>
      <c r="P9" s="125"/>
      <c r="Q9" s="125"/>
      <c r="R9" s="125"/>
      <c r="S9" s="125"/>
      <c r="T9" s="125"/>
    </row>
    <row r="10" spans="1:20" ht="15">
      <c r="A10" s="1290"/>
      <c r="B10" s="1267"/>
      <c r="C10" s="343" t="s">
        <v>320</v>
      </c>
      <c r="D10" s="346" t="s">
        <v>454</v>
      </c>
      <c r="E10" s="280">
        <f>E5-(E8*12)</f>
        <v>60344.07</v>
      </c>
      <c r="F10" s="343" t="s">
        <v>305</v>
      </c>
      <c r="G10" s="1269"/>
      <c r="H10" s="125"/>
      <c r="I10" s="125"/>
      <c r="J10" s="125"/>
      <c r="K10" s="125"/>
      <c r="L10" s="125"/>
      <c r="M10" s="125"/>
      <c r="N10" s="125"/>
      <c r="O10" s="125"/>
      <c r="P10" s="125"/>
      <c r="Q10" s="125"/>
      <c r="R10" s="125"/>
      <c r="S10" s="125"/>
      <c r="T10" s="125"/>
    </row>
    <row r="11" spans="1:20" ht="30">
      <c r="A11" s="1290"/>
      <c r="B11" s="1267"/>
      <c r="C11" s="343" t="s">
        <v>321</v>
      </c>
      <c r="D11" s="346" t="s">
        <v>454</v>
      </c>
      <c r="E11" s="210">
        <v>1</v>
      </c>
      <c r="F11" s="343" t="s">
        <v>318</v>
      </c>
      <c r="G11" s="1269"/>
      <c r="H11" s="125"/>
      <c r="I11" s="125"/>
      <c r="J11" s="125"/>
      <c r="K11" s="125"/>
      <c r="L11" s="125"/>
      <c r="M11" s="125"/>
      <c r="N11" s="125"/>
      <c r="O11" s="125"/>
      <c r="P11" s="125"/>
      <c r="Q11" s="125"/>
      <c r="R11" s="125"/>
      <c r="S11" s="125"/>
      <c r="T11" s="125"/>
    </row>
    <row r="12" spans="1:20" ht="15">
      <c r="A12" s="1290"/>
      <c r="B12" s="1267"/>
      <c r="C12" s="343" t="s">
        <v>322</v>
      </c>
      <c r="D12" s="346" t="s">
        <v>454</v>
      </c>
      <c r="E12" s="214">
        <f>((E10-E6)*(E11+1)/2*E11)+E6</f>
        <v>60344.07</v>
      </c>
      <c r="F12" s="343" t="s">
        <v>305</v>
      </c>
      <c r="G12" s="344" t="s">
        <v>323</v>
      </c>
      <c r="H12" s="125"/>
      <c r="I12" s="125"/>
      <c r="J12" s="125"/>
      <c r="K12" s="125"/>
      <c r="L12" s="125"/>
      <c r="M12" s="125"/>
      <c r="N12" s="125"/>
      <c r="O12" s="125"/>
      <c r="P12" s="125"/>
      <c r="Q12" s="125"/>
      <c r="R12" s="125"/>
      <c r="S12" s="125"/>
      <c r="T12" s="125"/>
    </row>
    <row r="13" spans="1:20" ht="45">
      <c r="A13" s="1290"/>
      <c r="B13" s="1267"/>
      <c r="C13" s="343" t="s">
        <v>324</v>
      </c>
      <c r="D13" s="341" t="s">
        <v>16</v>
      </c>
      <c r="E13" s="213">
        <f>SELIC</f>
        <v>0.14649999999999999</v>
      </c>
      <c r="F13" s="341" t="s">
        <v>325</v>
      </c>
      <c r="G13" s="347" t="s">
        <v>326</v>
      </c>
      <c r="H13" s="125"/>
      <c r="I13" s="125"/>
      <c r="J13" s="125"/>
      <c r="K13" s="125"/>
      <c r="L13" s="125"/>
      <c r="M13" s="125"/>
      <c r="N13" s="125"/>
      <c r="O13" s="125"/>
      <c r="P13" s="125"/>
      <c r="Q13" s="125"/>
      <c r="R13" s="125"/>
      <c r="S13" s="125"/>
      <c r="T13" s="125"/>
    </row>
    <row r="14" spans="1:20" ht="30">
      <c r="A14" s="1290"/>
      <c r="B14" s="1267"/>
      <c r="C14" s="343" t="s">
        <v>327</v>
      </c>
      <c r="D14" s="346" t="s">
        <v>454</v>
      </c>
      <c r="E14" s="214">
        <f>(E12*E13)/12</f>
        <v>736.70052124999995</v>
      </c>
      <c r="F14" s="343" t="s">
        <v>305</v>
      </c>
      <c r="G14" s="348" t="s">
        <v>328</v>
      </c>
      <c r="H14" s="125"/>
      <c r="I14" s="125"/>
      <c r="J14" s="125"/>
      <c r="K14" s="125"/>
      <c r="L14" s="125"/>
      <c r="M14" s="125"/>
      <c r="N14" s="125"/>
      <c r="O14" s="125"/>
      <c r="P14" s="125"/>
      <c r="Q14" s="125"/>
      <c r="R14" s="125"/>
      <c r="S14" s="125"/>
      <c r="T14" s="125"/>
    </row>
    <row r="15" spans="1:20" ht="75">
      <c r="A15" s="1290"/>
      <c r="B15" s="1274" t="s">
        <v>388</v>
      </c>
      <c r="C15" s="343" t="s">
        <v>329</v>
      </c>
      <c r="D15" s="346" t="s">
        <v>454</v>
      </c>
      <c r="E15" s="213">
        <v>0.04</v>
      </c>
      <c r="F15" s="343" t="s">
        <v>330</v>
      </c>
      <c r="G15" s="347" t="s">
        <v>458</v>
      </c>
      <c r="H15" s="125"/>
      <c r="I15" s="125"/>
      <c r="J15" s="125"/>
      <c r="K15" s="125"/>
      <c r="L15" s="125"/>
      <c r="M15" s="125"/>
      <c r="N15" s="125"/>
      <c r="O15" s="125"/>
      <c r="P15" s="125"/>
      <c r="Q15" s="125"/>
      <c r="R15" s="125"/>
      <c r="S15" s="125"/>
      <c r="T15" s="125"/>
    </row>
    <row r="16" spans="1:20" ht="60">
      <c r="A16" s="1290"/>
      <c r="B16" s="1275"/>
      <c r="C16" s="343" t="s">
        <v>332</v>
      </c>
      <c r="D16" s="346" t="s">
        <v>454</v>
      </c>
      <c r="E16" s="214">
        <f>E10</f>
        <v>60344.07</v>
      </c>
      <c r="F16" s="343" t="s">
        <v>305</v>
      </c>
      <c r="G16" s="344" t="s">
        <v>16</v>
      </c>
      <c r="H16" s="125"/>
      <c r="I16" s="125"/>
      <c r="J16" s="125"/>
      <c r="K16" s="125"/>
      <c r="L16" s="125"/>
      <c r="M16" s="125"/>
      <c r="N16" s="125"/>
      <c r="O16" s="125"/>
      <c r="P16" s="125"/>
      <c r="Q16" s="125"/>
      <c r="R16" s="125"/>
      <c r="S16" s="125"/>
      <c r="T16" s="125"/>
    </row>
    <row r="17" spans="1:20" ht="15">
      <c r="A17" s="1290"/>
      <c r="B17" s="1275"/>
      <c r="C17" s="341" t="s">
        <v>334</v>
      </c>
      <c r="D17" s="346" t="s">
        <v>454</v>
      </c>
      <c r="E17" s="214">
        <f>(E10*E15)/12</f>
        <v>201.14689999999999</v>
      </c>
      <c r="F17" s="343" t="s">
        <v>314</v>
      </c>
      <c r="G17" s="344" t="s">
        <v>333</v>
      </c>
      <c r="H17" s="125"/>
      <c r="I17" s="125"/>
      <c r="J17" s="125"/>
      <c r="K17" s="125"/>
      <c r="L17" s="125"/>
      <c r="M17" s="125"/>
      <c r="N17" s="125"/>
      <c r="O17" s="125"/>
      <c r="P17" s="125"/>
      <c r="Q17" s="125"/>
      <c r="R17" s="125"/>
      <c r="S17" s="125"/>
      <c r="T17" s="125"/>
    </row>
    <row r="18" spans="1:20" ht="30" customHeight="1">
      <c r="A18" s="1290"/>
      <c r="B18" s="1275"/>
      <c r="C18" s="1276" t="s">
        <v>335</v>
      </c>
      <c r="D18" s="1249" t="s">
        <v>454</v>
      </c>
      <c r="E18" s="214">
        <v>0</v>
      </c>
      <c r="F18" s="343" t="s">
        <v>336</v>
      </c>
      <c r="G18" s="1277" t="s">
        <v>337</v>
      </c>
      <c r="H18" s="125"/>
      <c r="I18" s="125"/>
      <c r="J18" s="125"/>
      <c r="K18" s="125"/>
      <c r="L18" s="125"/>
      <c r="M18" s="125"/>
      <c r="N18" s="125"/>
      <c r="O18" s="125"/>
      <c r="P18" s="125"/>
      <c r="Q18" s="125"/>
      <c r="R18" s="125"/>
      <c r="S18" s="125"/>
      <c r="T18" s="125"/>
    </row>
    <row r="19" spans="1:20" ht="15">
      <c r="A19" s="1290"/>
      <c r="B19" s="1275"/>
      <c r="C19" s="1109"/>
      <c r="D19" s="1250"/>
      <c r="E19" s="214">
        <v>0</v>
      </c>
      <c r="F19" s="343" t="s">
        <v>314</v>
      </c>
      <c r="G19" s="1278"/>
      <c r="H19" s="125"/>
      <c r="I19" s="125"/>
      <c r="J19" s="125"/>
      <c r="K19" s="125"/>
      <c r="L19" s="125"/>
      <c r="M19" s="125"/>
      <c r="N19" s="125"/>
      <c r="O19" s="125"/>
      <c r="P19" s="125"/>
      <c r="Q19" s="125"/>
      <c r="R19" s="125"/>
      <c r="S19" s="125"/>
      <c r="T19" s="125"/>
    </row>
    <row r="20" spans="1:20" ht="15">
      <c r="A20" s="1290"/>
      <c r="B20" s="1275"/>
      <c r="C20" s="1276" t="s">
        <v>338</v>
      </c>
      <c r="D20" s="1249" t="s">
        <v>454</v>
      </c>
      <c r="E20" s="214">
        <v>35.619999999999997</v>
      </c>
      <c r="F20" s="343" t="s">
        <v>336</v>
      </c>
      <c r="G20" s="1277" t="s">
        <v>339</v>
      </c>
      <c r="H20" s="125"/>
      <c r="I20" s="125"/>
      <c r="J20" s="125"/>
      <c r="K20" s="125"/>
      <c r="L20" s="125"/>
      <c r="M20" s="125"/>
      <c r="N20" s="125"/>
      <c r="O20" s="125"/>
      <c r="P20" s="125"/>
      <c r="Q20" s="125"/>
      <c r="R20" s="125"/>
      <c r="S20" s="125"/>
      <c r="T20" s="125"/>
    </row>
    <row r="21" spans="1:20" ht="15">
      <c r="A21" s="1290"/>
      <c r="B21" s="1275"/>
      <c r="C21" s="1109"/>
      <c r="D21" s="1250"/>
      <c r="E21" s="214">
        <f>E20/12</f>
        <v>2.9683333333333333</v>
      </c>
      <c r="F21" s="343" t="s">
        <v>314</v>
      </c>
      <c r="G21" s="1278"/>
      <c r="H21" s="125"/>
      <c r="I21" s="125"/>
      <c r="J21" s="125"/>
      <c r="K21" s="125"/>
      <c r="L21" s="125"/>
      <c r="M21" s="125"/>
      <c r="N21" s="125"/>
      <c r="O21" s="125"/>
      <c r="P21" s="125"/>
      <c r="Q21" s="125"/>
      <c r="R21" s="125"/>
      <c r="S21" s="125"/>
      <c r="T21" s="125"/>
    </row>
    <row r="22" spans="1:20" ht="32.25" customHeight="1">
      <c r="A22" s="1290"/>
      <c r="B22" s="1275"/>
      <c r="C22" s="1276" t="s">
        <v>340</v>
      </c>
      <c r="D22" s="1249" t="s">
        <v>454</v>
      </c>
      <c r="E22" s="281">
        <f>E5*4.5%</f>
        <v>3121.2449999999999</v>
      </c>
      <c r="F22" s="343" t="s">
        <v>336</v>
      </c>
      <c r="G22" s="1419" t="s">
        <v>460</v>
      </c>
      <c r="H22" s="125"/>
      <c r="I22" s="125"/>
      <c r="J22" s="124"/>
      <c r="K22" s="125"/>
      <c r="L22" s="125"/>
      <c r="M22" s="125"/>
      <c r="N22" s="125"/>
      <c r="O22" s="125"/>
      <c r="P22" s="125"/>
      <c r="Q22" s="125"/>
      <c r="R22" s="125"/>
      <c r="S22" s="125"/>
      <c r="T22" s="125"/>
    </row>
    <row r="23" spans="1:20" ht="51.75" customHeight="1">
      <c r="A23" s="1290"/>
      <c r="B23" s="1275"/>
      <c r="C23" s="1109"/>
      <c r="D23" s="1250"/>
      <c r="E23" s="214">
        <f>E22/12</f>
        <v>260.10374999999999</v>
      </c>
      <c r="F23" s="343" t="s">
        <v>314</v>
      </c>
      <c r="G23" s="1271"/>
      <c r="H23" s="125"/>
      <c r="I23" s="125"/>
      <c r="J23" s="125"/>
      <c r="K23" s="125"/>
      <c r="L23" s="125"/>
      <c r="M23" s="125"/>
      <c r="N23" s="125"/>
      <c r="O23" s="125"/>
      <c r="P23" s="125"/>
      <c r="Q23" s="125"/>
      <c r="R23" s="125"/>
      <c r="S23" s="125"/>
      <c r="T23" s="125"/>
    </row>
    <row r="24" spans="1:20" ht="45.75" thickBot="1">
      <c r="A24" s="1290"/>
      <c r="B24" s="1275"/>
      <c r="C24" s="1272" t="s">
        <v>424</v>
      </c>
      <c r="D24" s="1273"/>
      <c r="E24" s="215">
        <f>E17+E19+E21+E23</f>
        <v>464.21898333333331</v>
      </c>
      <c r="F24" s="350" t="s">
        <v>314</v>
      </c>
      <c r="G24" s="351" t="s">
        <v>342</v>
      </c>
      <c r="H24" s="125"/>
      <c r="I24" s="125"/>
      <c r="J24" s="125"/>
      <c r="K24" s="125"/>
      <c r="L24" s="125"/>
      <c r="M24" s="125"/>
      <c r="N24" s="125"/>
      <c r="O24" s="125"/>
      <c r="P24" s="125"/>
      <c r="Q24" s="125"/>
      <c r="R24" s="125"/>
      <c r="S24" s="125"/>
      <c r="T24" s="125"/>
    </row>
    <row r="25" spans="1:20" ht="41.25" customHeight="1" thickBot="1">
      <c r="A25" s="1333"/>
      <c r="B25" s="1298" t="s">
        <v>480</v>
      </c>
      <c r="C25" s="1299"/>
      <c r="D25" s="1300"/>
      <c r="E25" s="216">
        <f>(E8)+(E14)+E24</f>
        <v>1952.3303379166664</v>
      </c>
      <c r="F25" s="217" t="s">
        <v>314</v>
      </c>
      <c r="G25" s="218" t="s">
        <v>378</v>
      </c>
      <c r="H25" s="125"/>
      <c r="I25" s="125"/>
      <c r="J25" s="125"/>
      <c r="K25" s="125"/>
      <c r="L25" s="125"/>
      <c r="M25" s="125"/>
      <c r="N25" s="125"/>
      <c r="O25" s="125"/>
      <c r="P25" s="125"/>
      <c r="Q25" s="125"/>
      <c r="R25" s="125"/>
      <c r="S25" s="125"/>
      <c r="T25" s="125"/>
    </row>
    <row r="26" spans="1:20" ht="30">
      <c r="A26" s="1295" t="s">
        <v>427</v>
      </c>
      <c r="B26" s="1243" t="s">
        <v>385</v>
      </c>
      <c r="C26" s="353" t="s">
        <v>343</v>
      </c>
      <c r="D26" s="346" t="s">
        <v>455</v>
      </c>
      <c r="E26" s="283">
        <v>0.1</v>
      </c>
      <c r="F26" s="342" t="s">
        <v>345</v>
      </c>
      <c r="G26" s="356" t="s">
        <v>462</v>
      </c>
      <c r="H26" s="125"/>
      <c r="I26" s="125"/>
      <c r="J26" s="125"/>
      <c r="K26" s="125"/>
      <c r="L26" s="125"/>
      <c r="M26" s="125"/>
      <c r="N26" s="125"/>
      <c r="O26" s="125"/>
      <c r="P26" s="125"/>
      <c r="Q26" s="125"/>
      <c r="R26" s="125"/>
      <c r="S26" s="125"/>
      <c r="T26" s="125"/>
    </row>
    <row r="27" spans="1:20" ht="105">
      <c r="A27" s="1290"/>
      <c r="B27" s="1243"/>
      <c r="C27" s="343" t="s">
        <v>348</v>
      </c>
      <c r="D27" s="341" t="s">
        <v>463</v>
      </c>
      <c r="E27" s="214">
        <f>GASOLINA</f>
        <v>6.44</v>
      </c>
      <c r="F27" s="341" t="s">
        <v>350</v>
      </c>
      <c r="G27" s="220" t="s">
        <v>398</v>
      </c>
      <c r="H27" s="125"/>
      <c r="I27" s="125"/>
      <c r="J27" s="125"/>
      <c r="K27" s="125"/>
      <c r="L27" s="125"/>
      <c r="M27" s="125"/>
      <c r="N27" s="125"/>
      <c r="O27" s="125"/>
      <c r="P27" s="125"/>
      <c r="Q27" s="125"/>
      <c r="R27" s="125"/>
      <c r="S27" s="125"/>
      <c r="T27" s="125"/>
    </row>
    <row r="28" spans="1:20" ht="45">
      <c r="A28" s="1290"/>
      <c r="B28" s="1243"/>
      <c r="C28" s="350" t="s">
        <v>351</v>
      </c>
      <c r="D28" s="346" t="s">
        <v>455</v>
      </c>
      <c r="E28" s="354">
        <f>E26*E27</f>
        <v>0.64400000000000013</v>
      </c>
      <c r="F28" s="341" t="s">
        <v>352</v>
      </c>
      <c r="G28" s="351" t="s">
        <v>353</v>
      </c>
      <c r="H28" s="125"/>
      <c r="I28" s="125"/>
      <c r="J28" s="125"/>
      <c r="K28" s="125"/>
      <c r="L28" s="125"/>
      <c r="M28" s="125"/>
      <c r="N28" s="125"/>
      <c r="O28" s="125"/>
      <c r="P28" s="125"/>
      <c r="Q28" s="125"/>
      <c r="R28" s="125"/>
      <c r="S28" s="125"/>
      <c r="T28" s="125"/>
    </row>
    <row r="29" spans="1:20" ht="30">
      <c r="A29" s="1290"/>
      <c r="B29" s="1243"/>
      <c r="C29" s="350" t="s">
        <v>354</v>
      </c>
      <c r="D29" s="346" t="s">
        <v>455</v>
      </c>
      <c r="E29" s="282">
        <f>TRUNC(40*26,2)</f>
        <v>1040</v>
      </c>
      <c r="F29" s="341" t="s">
        <v>9</v>
      </c>
      <c r="G29" s="351" t="s">
        <v>464</v>
      </c>
      <c r="H29" s="125"/>
      <c r="I29" s="125"/>
      <c r="J29" s="125"/>
      <c r="K29" s="125"/>
      <c r="L29" s="125"/>
      <c r="M29" s="125"/>
      <c r="N29" s="125"/>
      <c r="O29" s="125"/>
      <c r="P29" s="125"/>
      <c r="Q29" s="125"/>
      <c r="R29" s="125"/>
      <c r="S29" s="125"/>
      <c r="T29" s="125"/>
    </row>
    <row r="30" spans="1:20" ht="45" customHeight="1">
      <c r="A30" s="1290"/>
      <c r="B30" s="1243"/>
      <c r="C30" s="350" t="s">
        <v>355</v>
      </c>
      <c r="D30" s="343" t="s">
        <v>455</v>
      </c>
      <c r="E30" s="214">
        <f>TRUNC((E28*E29),2)</f>
        <v>669.76</v>
      </c>
      <c r="F30" s="341" t="s">
        <v>352</v>
      </c>
      <c r="G30" s="344" t="s">
        <v>356</v>
      </c>
      <c r="H30" s="125"/>
      <c r="I30" s="125"/>
      <c r="J30" s="125"/>
      <c r="K30" s="125"/>
      <c r="L30" s="125"/>
      <c r="M30" s="125"/>
      <c r="N30" s="125"/>
      <c r="O30" s="125"/>
      <c r="P30" s="125"/>
      <c r="Q30" s="125"/>
      <c r="R30" s="125"/>
      <c r="S30" s="125"/>
      <c r="T30" s="125"/>
    </row>
    <row r="31" spans="1:20" ht="28.5" customHeight="1">
      <c r="A31" s="1290"/>
      <c r="B31" s="345" t="s">
        <v>384</v>
      </c>
      <c r="C31" s="343" t="s">
        <v>357</v>
      </c>
      <c r="D31" s="350" t="s">
        <v>454</v>
      </c>
      <c r="E31" s="214">
        <f>SUM(E30:E30)*0.1</f>
        <v>66.975999999999999</v>
      </c>
      <c r="F31" s="341" t="s">
        <v>352</v>
      </c>
      <c r="G31" s="348" t="s">
        <v>358</v>
      </c>
      <c r="H31" s="125"/>
      <c r="I31" s="125"/>
      <c r="J31" s="125"/>
      <c r="K31" s="125"/>
      <c r="L31" s="125"/>
      <c r="M31" s="125"/>
      <c r="N31" s="125"/>
      <c r="O31" s="125"/>
      <c r="P31" s="125"/>
      <c r="Q31" s="125"/>
      <c r="R31" s="125"/>
      <c r="S31" s="125"/>
      <c r="T31" s="125"/>
    </row>
    <row r="32" spans="1:20" ht="60" customHeight="1">
      <c r="A32" s="1290"/>
      <c r="B32" s="1275" t="s">
        <v>383</v>
      </c>
      <c r="C32" s="341" t="s">
        <v>359</v>
      </c>
      <c r="D32" s="350" t="s">
        <v>454</v>
      </c>
      <c r="E32" s="285">
        <f>C169</f>
        <v>384.89999999999992</v>
      </c>
      <c r="F32" s="341" t="s">
        <v>305</v>
      </c>
      <c r="G32" s="351" t="s">
        <v>465</v>
      </c>
      <c r="H32" s="125"/>
      <c r="I32" s="125"/>
      <c r="J32" s="125"/>
      <c r="K32" s="125"/>
      <c r="L32" s="125"/>
      <c r="M32" s="125"/>
      <c r="N32" s="125"/>
      <c r="O32" s="125"/>
      <c r="P32" s="125"/>
      <c r="Q32" s="125"/>
      <c r="R32" s="125"/>
      <c r="S32" s="125"/>
      <c r="T32" s="125"/>
    </row>
    <row r="33" spans="1:20" ht="45">
      <c r="A33" s="1290"/>
      <c r="B33" s="1275"/>
      <c r="C33" s="343" t="s">
        <v>363</v>
      </c>
      <c r="D33" s="350" t="s">
        <v>454</v>
      </c>
      <c r="E33" s="221">
        <v>4</v>
      </c>
      <c r="F33" s="368" t="s">
        <v>362</v>
      </c>
      <c r="G33" s="347" t="s">
        <v>466</v>
      </c>
      <c r="H33" s="125"/>
      <c r="I33" s="125"/>
      <c r="J33" s="125"/>
      <c r="K33" s="125"/>
      <c r="L33" s="125"/>
      <c r="M33" s="125"/>
      <c r="N33" s="125"/>
      <c r="O33" s="125"/>
      <c r="P33" s="125"/>
      <c r="Q33" s="125"/>
      <c r="R33" s="125"/>
      <c r="S33" s="125"/>
      <c r="T33" s="125"/>
    </row>
    <row r="34" spans="1:20" ht="103.5" customHeight="1">
      <c r="A34" s="1290"/>
      <c r="B34" s="1275"/>
      <c r="C34" s="343" t="s">
        <v>366</v>
      </c>
      <c r="D34" s="350" t="s">
        <v>454</v>
      </c>
      <c r="E34" s="221">
        <v>30000</v>
      </c>
      <c r="F34" s="343" t="s">
        <v>164</v>
      </c>
      <c r="G34" s="355" t="s">
        <v>467</v>
      </c>
      <c r="H34" s="125"/>
      <c r="I34" s="125"/>
      <c r="J34" s="125"/>
      <c r="K34" s="125"/>
      <c r="L34" s="125"/>
      <c r="M34" s="125"/>
      <c r="N34" s="125"/>
      <c r="O34" s="125"/>
      <c r="P34" s="125"/>
      <c r="Q34" s="125"/>
      <c r="R34" s="125"/>
      <c r="S34" s="125"/>
      <c r="T34" s="125"/>
    </row>
    <row r="35" spans="1:20" ht="45">
      <c r="A35" s="1290"/>
      <c r="B35" s="1275"/>
      <c r="C35" s="343" t="s">
        <v>469</v>
      </c>
      <c r="D35" s="350" t="s">
        <v>454</v>
      </c>
      <c r="E35" s="214">
        <f>TRUNC(((1.2*(E32)*E33))/(E34),2)</f>
        <v>0.06</v>
      </c>
      <c r="F35" s="343" t="s">
        <v>369</v>
      </c>
      <c r="G35" s="347" t="s">
        <v>468</v>
      </c>
      <c r="H35" s="125"/>
      <c r="I35" s="125"/>
      <c r="J35" s="125"/>
      <c r="K35" s="125"/>
      <c r="L35" s="125"/>
      <c r="M35" s="125"/>
      <c r="N35" s="125"/>
      <c r="O35" s="125"/>
      <c r="P35" s="125"/>
      <c r="Q35" s="125"/>
      <c r="R35" s="125"/>
      <c r="S35" s="125"/>
      <c r="T35" s="125"/>
    </row>
    <row r="36" spans="1:20" ht="45">
      <c r="A36" s="1290"/>
      <c r="B36" s="1275"/>
      <c r="C36" s="343" t="s">
        <v>371</v>
      </c>
      <c r="D36" s="350" t="s">
        <v>454</v>
      </c>
      <c r="E36" s="284">
        <f>E29</f>
        <v>1040</v>
      </c>
      <c r="F36" s="343" t="s">
        <v>372</v>
      </c>
      <c r="G36" s="348" t="s">
        <v>16</v>
      </c>
      <c r="H36" s="125"/>
      <c r="I36" s="125"/>
      <c r="J36" s="125"/>
      <c r="K36" s="125"/>
      <c r="L36" s="125"/>
      <c r="M36" s="125"/>
      <c r="N36" s="125"/>
      <c r="O36" s="125"/>
      <c r="P36" s="125"/>
      <c r="Q36" s="125"/>
      <c r="R36" s="125"/>
      <c r="S36" s="125"/>
      <c r="T36" s="125"/>
    </row>
    <row r="37" spans="1:20" ht="30">
      <c r="A37" s="1290"/>
      <c r="B37" s="1288"/>
      <c r="C37" s="343" t="s">
        <v>470</v>
      </c>
      <c r="D37" s="350" t="s">
        <v>454</v>
      </c>
      <c r="E37" s="214">
        <f>TRUNC(E36*E35,2)</f>
        <v>62.4</v>
      </c>
      <c r="F37" s="343" t="s">
        <v>314</v>
      </c>
      <c r="G37" s="348" t="s">
        <v>471</v>
      </c>
      <c r="H37" s="125"/>
      <c r="I37" s="125"/>
      <c r="J37" s="125"/>
      <c r="K37" s="125"/>
      <c r="L37" s="125"/>
      <c r="M37" s="125"/>
      <c r="N37" s="125"/>
      <c r="O37" s="125"/>
      <c r="P37" s="125"/>
      <c r="Q37" s="125"/>
      <c r="R37" s="125"/>
      <c r="S37" s="125"/>
      <c r="T37" s="125"/>
    </row>
    <row r="38" spans="1:20" ht="132.75" customHeight="1">
      <c r="A38" s="1290"/>
      <c r="B38" s="1275" t="s">
        <v>389</v>
      </c>
      <c r="C38" s="343" t="s">
        <v>472</v>
      </c>
      <c r="D38" s="350" t="s">
        <v>454</v>
      </c>
      <c r="E38" s="212">
        <f>(E5)-(E32*4)</f>
        <v>67821.399999999994</v>
      </c>
      <c r="F38" s="343" t="s">
        <v>305</v>
      </c>
      <c r="G38" s="347" t="s">
        <v>393</v>
      </c>
      <c r="H38" s="125"/>
      <c r="I38" s="125"/>
      <c r="J38" s="125"/>
      <c r="K38" s="125"/>
      <c r="L38" s="125"/>
      <c r="M38" s="125"/>
      <c r="N38" s="125"/>
      <c r="O38" s="125"/>
      <c r="P38" s="125"/>
      <c r="Q38" s="125"/>
      <c r="R38" s="125"/>
      <c r="S38" s="125"/>
      <c r="T38" s="125"/>
    </row>
    <row r="39" spans="1:20" ht="60">
      <c r="A39" s="1290"/>
      <c r="B39" s="1275"/>
      <c r="C39" s="343" t="s">
        <v>376</v>
      </c>
      <c r="D39" s="350" t="s">
        <v>454</v>
      </c>
      <c r="E39" s="210">
        <v>0.9</v>
      </c>
      <c r="F39" s="343" t="s">
        <v>16</v>
      </c>
      <c r="G39" s="347" t="s">
        <v>392</v>
      </c>
      <c r="H39" s="125"/>
      <c r="I39" s="125"/>
      <c r="J39" s="125"/>
      <c r="K39" s="125"/>
      <c r="L39" s="125"/>
      <c r="M39" s="125"/>
      <c r="N39" s="125"/>
      <c r="O39" s="125"/>
      <c r="P39" s="125"/>
      <c r="Q39" s="125"/>
      <c r="R39" s="125"/>
      <c r="S39" s="125"/>
      <c r="T39" s="125"/>
    </row>
    <row r="40" spans="1:20" ht="204.75" customHeight="1" thickBot="1">
      <c r="A40" s="1290"/>
      <c r="B40" s="1275"/>
      <c r="C40" s="350" t="s">
        <v>377</v>
      </c>
      <c r="D40" s="350" t="s">
        <v>454</v>
      </c>
      <c r="E40" s="354">
        <f>TRUNC((E38*E39)/E7,2)</f>
        <v>1017.32</v>
      </c>
      <c r="F40" s="349" t="s">
        <v>314</v>
      </c>
      <c r="G40" s="351" t="s">
        <v>391</v>
      </c>
      <c r="H40" s="125"/>
      <c r="I40" s="125"/>
      <c r="J40" s="125"/>
      <c r="K40" s="125"/>
      <c r="L40" s="125"/>
      <c r="M40" s="125"/>
      <c r="N40" s="125"/>
      <c r="O40" s="125"/>
      <c r="P40" s="125"/>
      <c r="Q40" s="125"/>
      <c r="R40" s="125"/>
      <c r="S40" s="125"/>
      <c r="T40" s="125"/>
    </row>
    <row r="41" spans="1:20" ht="35.25" customHeight="1" thickBot="1">
      <c r="A41" s="1291"/>
      <c r="B41" s="1292" t="s">
        <v>481</v>
      </c>
      <c r="C41" s="1293"/>
      <c r="D41" s="1294"/>
      <c r="E41" s="224">
        <f>E30+E31+E37+E40</f>
        <v>1816.4560000000001</v>
      </c>
      <c r="F41" s="225" t="s">
        <v>314</v>
      </c>
      <c r="G41" s="226" t="s">
        <v>380</v>
      </c>
      <c r="H41" s="125"/>
      <c r="I41" s="125"/>
      <c r="J41" s="125"/>
      <c r="K41" s="125"/>
      <c r="L41" s="125"/>
      <c r="M41" s="125"/>
      <c r="N41" s="125"/>
      <c r="O41" s="125"/>
      <c r="P41" s="125"/>
      <c r="Q41" s="125"/>
      <c r="R41" s="125"/>
      <c r="S41" s="125"/>
      <c r="T41" s="125"/>
    </row>
    <row r="42" spans="1:20" ht="18.75">
      <c r="A42" s="1238" t="s">
        <v>482</v>
      </c>
      <c r="B42" s="1239"/>
      <c r="C42" s="1239"/>
      <c r="D42" s="1239"/>
      <c r="E42" s="227">
        <f>(E25+E41)</f>
        <v>3768.7863379166665</v>
      </c>
      <c r="F42" s="228" t="s">
        <v>314</v>
      </c>
      <c r="G42" s="234" t="s">
        <v>473</v>
      </c>
      <c r="H42" s="125"/>
      <c r="I42" s="125"/>
      <c r="J42" s="125"/>
      <c r="K42" s="125"/>
      <c r="L42" s="125"/>
      <c r="M42" s="125"/>
      <c r="N42" s="125"/>
      <c r="O42" s="125"/>
      <c r="P42" s="125"/>
      <c r="Q42" s="125"/>
      <c r="R42" s="125"/>
      <c r="S42" s="125"/>
      <c r="T42" s="125"/>
    </row>
    <row r="43" spans="1:20" ht="19.5" thickBot="1">
      <c r="A43" s="1240"/>
      <c r="B43" s="1241"/>
      <c r="C43" s="1241"/>
      <c r="D43" s="1241"/>
      <c r="E43" s="229">
        <f>E42/E36</f>
        <v>3.6238330172275641</v>
      </c>
      <c r="F43" s="230" t="s">
        <v>369</v>
      </c>
      <c r="G43" s="231" t="s">
        <v>403</v>
      </c>
      <c r="H43" s="125"/>
      <c r="I43" s="125"/>
      <c r="J43" s="125"/>
      <c r="K43" s="125"/>
      <c r="L43" s="125"/>
      <c r="M43" s="125"/>
      <c r="N43" s="125"/>
      <c r="O43" s="125"/>
      <c r="P43" s="125"/>
      <c r="Q43" s="125"/>
      <c r="R43" s="125"/>
      <c r="S43" s="125"/>
      <c r="T43" s="125"/>
    </row>
    <row r="44" spans="1:20" ht="15.75" thickBot="1">
      <c r="A44" s="222"/>
      <c r="B44" s="232"/>
      <c r="C44" s="232"/>
      <c r="D44" s="232"/>
      <c r="E44" s="233"/>
      <c r="F44" s="232"/>
      <c r="G44" s="232"/>
      <c r="H44" s="125"/>
      <c r="I44" s="125"/>
      <c r="J44" s="125"/>
      <c r="K44" s="125"/>
      <c r="L44" s="125"/>
      <c r="M44" s="125"/>
      <c r="N44" s="125"/>
      <c r="O44" s="125"/>
      <c r="P44" s="125"/>
      <c r="Q44" s="125"/>
      <c r="R44" s="125"/>
      <c r="S44" s="125"/>
      <c r="T44" s="125"/>
    </row>
    <row r="45" spans="1:20" ht="15.75" thickBot="1">
      <c r="A45" s="1254" t="s">
        <v>658</v>
      </c>
      <c r="B45" s="1255"/>
      <c r="C45" s="1255"/>
      <c r="D45" s="1255"/>
      <c r="E45" s="1255"/>
      <c r="F45" s="1255"/>
      <c r="G45" s="1256"/>
      <c r="H45" s="125"/>
      <c r="I45" s="125"/>
      <c r="J45" s="125"/>
      <c r="K45" s="125"/>
      <c r="L45" s="125"/>
      <c r="M45" s="125"/>
      <c r="N45" s="125"/>
      <c r="O45" s="125"/>
      <c r="P45" s="125"/>
      <c r="Q45" s="125"/>
      <c r="R45" s="125"/>
      <c r="S45" s="125"/>
      <c r="T45" s="125"/>
    </row>
    <row r="46" spans="1:20" ht="15">
      <c r="A46" s="620" t="s">
        <v>662</v>
      </c>
      <c r="B46" s="1407" t="s">
        <v>284</v>
      </c>
      <c r="C46" s="1408"/>
      <c r="D46" s="1408"/>
      <c r="E46" s="1408"/>
      <c r="F46" s="1408"/>
      <c r="G46" s="1409"/>
      <c r="H46" s="125"/>
      <c r="I46" s="125"/>
      <c r="J46" s="125"/>
      <c r="K46" s="125"/>
      <c r="L46" s="125"/>
      <c r="M46" s="125"/>
      <c r="N46" s="125"/>
      <c r="O46" s="125"/>
      <c r="P46" s="125"/>
      <c r="Q46" s="125"/>
      <c r="R46" s="125"/>
      <c r="S46" s="125"/>
      <c r="T46" s="125"/>
    </row>
    <row r="47" spans="1:20" ht="15">
      <c r="A47" s="624"/>
      <c r="B47" s="612"/>
      <c r="C47" s="612"/>
      <c r="D47" s="612"/>
      <c r="E47" s="613"/>
      <c r="F47" s="612"/>
      <c r="G47" s="625"/>
      <c r="H47" s="125"/>
      <c r="I47" s="125"/>
      <c r="J47" s="125"/>
      <c r="K47" s="125"/>
      <c r="L47" s="125"/>
      <c r="M47" s="125"/>
      <c r="N47" s="125"/>
      <c r="O47" s="125"/>
      <c r="P47" s="125"/>
      <c r="Q47" s="125"/>
      <c r="R47" s="125"/>
      <c r="S47" s="125"/>
      <c r="T47" s="125"/>
    </row>
    <row r="48" spans="1:20" ht="15">
      <c r="A48" s="624"/>
      <c r="B48" s="612"/>
      <c r="C48" s="612"/>
      <c r="D48" s="612"/>
      <c r="E48" s="613"/>
      <c r="F48" s="612"/>
      <c r="G48" s="625"/>
      <c r="H48" s="125"/>
      <c r="I48" s="125"/>
      <c r="J48" s="125"/>
      <c r="K48" s="125"/>
      <c r="L48" s="125"/>
      <c r="M48" s="125"/>
      <c r="N48" s="125"/>
      <c r="O48" s="125"/>
      <c r="P48" s="125"/>
      <c r="Q48" s="125"/>
      <c r="R48" s="125"/>
      <c r="S48" s="125"/>
      <c r="T48" s="125"/>
    </row>
    <row r="49" spans="1:20" ht="15">
      <c r="A49" s="624"/>
      <c r="B49" s="612"/>
      <c r="C49" s="612"/>
      <c r="D49" s="612"/>
      <c r="E49" s="613"/>
      <c r="F49" s="612"/>
      <c r="G49" s="625"/>
      <c r="H49" s="125"/>
      <c r="I49" s="125"/>
      <c r="J49" s="125"/>
      <c r="K49" s="125"/>
      <c r="L49" s="125"/>
      <c r="M49" s="125"/>
      <c r="N49" s="125"/>
      <c r="O49" s="125"/>
      <c r="P49" s="125"/>
      <c r="Q49" s="125"/>
      <c r="R49" s="125"/>
      <c r="S49" s="125"/>
      <c r="T49" s="125"/>
    </row>
    <row r="50" spans="1:20" ht="15">
      <c r="A50" s="624"/>
      <c r="B50" s="612"/>
      <c r="C50" s="612"/>
      <c r="D50" s="612"/>
      <c r="E50" s="613"/>
      <c r="F50" s="612"/>
      <c r="G50" s="625"/>
      <c r="H50" s="125"/>
      <c r="I50" s="125"/>
      <c r="J50" s="125"/>
      <c r="K50" s="125"/>
      <c r="L50" s="125"/>
      <c r="M50" s="125"/>
      <c r="N50" s="125"/>
      <c r="O50" s="125"/>
      <c r="P50" s="125"/>
      <c r="Q50" s="125"/>
      <c r="R50" s="125"/>
      <c r="S50" s="125"/>
      <c r="T50" s="125"/>
    </row>
    <row r="51" spans="1:20" ht="15">
      <c r="A51" s="624"/>
      <c r="B51" s="612"/>
      <c r="C51" s="612"/>
      <c r="D51" s="612"/>
      <c r="E51" s="613"/>
      <c r="F51" s="612"/>
      <c r="G51" s="625"/>
      <c r="H51" s="125"/>
      <c r="I51" s="125"/>
      <c r="J51" s="125"/>
      <c r="K51" s="125"/>
      <c r="L51" s="125"/>
      <c r="M51" s="125"/>
      <c r="N51" s="125"/>
      <c r="O51" s="125"/>
      <c r="P51" s="125"/>
      <c r="Q51" s="125"/>
      <c r="R51" s="125"/>
      <c r="S51" s="125"/>
      <c r="T51" s="125"/>
    </row>
    <row r="52" spans="1:20" ht="15">
      <c r="A52" s="626"/>
      <c r="B52" s="614"/>
      <c r="C52" s="614"/>
      <c r="D52" s="614"/>
      <c r="E52" s="615"/>
      <c r="F52" s="614"/>
      <c r="G52" s="627"/>
      <c r="H52" s="125"/>
      <c r="I52" s="125"/>
      <c r="J52" s="125"/>
      <c r="K52" s="125"/>
      <c r="L52" s="125"/>
      <c r="M52" s="125"/>
      <c r="N52" s="125"/>
      <c r="O52" s="125"/>
      <c r="P52" s="125"/>
      <c r="Q52" s="125"/>
      <c r="R52" s="125"/>
      <c r="S52" s="125"/>
      <c r="T52" s="125"/>
    </row>
    <row r="53" spans="1:20" ht="15">
      <c r="A53" s="626"/>
      <c r="B53" s="614"/>
      <c r="C53" s="614"/>
      <c r="D53" s="614"/>
      <c r="E53" s="615"/>
      <c r="F53" s="614"/>
      <c r="G53" s="627"/>
      <c r="H53" s="611"/>
      <c r="I53" s="125"/>
      <c r="J53" s="125"/>
      <c r="K53" s="125"/>
      <c r="L53" s="125"/>
      <c r="M53" s="125"/>
      <c r="N53" s="125"/>
      <c r="O53" s="125"/>
      <c r="P53" s="125"/>
      <c r="Q53" s="125"/>
      <c r="R53" s="125"/>
      <c r="S53" s="125"/>
      <c r="T53" s="125"/>
    </row>
    <row r="54" spans="1:20" ht="15">
      <c r="A54" s="626"/>
      <c r="B54" s="614"/>
      <c r="C54" s="614"/>
      <c r="D54" s="614"/>
      <c r="E54" s="615"/>
      <c r="F54" s="614"/>
      <c r="G54" s="627"/>
      <c r="H54" s="125"/>
      <c r="I54" s="125"/>
      <c r="J54" s="125"/>
      <c r="K54" s="125"/>
      <c r="L54" s="125"/>
      <c r="M54" s="125"/>
      <c r="N54" s="125"/>
      <c r="O54" s="125"/>
      <c r="P54" s="125"/>
      <c r="Q54" s="125"/>
      <c r="R54" s="125"/>
      <c r="S54" s="125"/>
      <c r="T54" s="125"/>
    </row>
    <row r="55" spans="1:20" ht="15">
      <c r="A55" s="626"/>
      <c r="B55" s="614"/>
      <c r="C55" s="614"/>
      <c r="D55" s="614"/>
      <c r="E55" s="615"/>
      <c r="F55" s="614"/>
      <c r="G55" s="627"/>
      <c r="H55" s="125"/>
      <c r="I55" s="125"/>
      <c r="J55" s="125"/>
      <c r="K55" s="125"/>
      <c r="L55" s="125"/>
      <c r="M55" s="125"/>
      <c r="N55" s="125"/>
      <c r="O55" s="125"/>
      <c r="P55" s="125"/>
      <c r="Q55" s="125"/>
      <c r="R55" s="125"/>
      <c r="S55" s="125"/>
      <c r="T55" s="125"/>
    </row>
    <row r="56" spans="1:20" ht="15">
      <c r="A56" s="626"/>
      <c r="B56" s="614"/>
      <c r="C56" s="614"/>
      <c r="D56" s="614"/>
      <c r="E56" s="615"/>
      <c r="F56" s="614"/>
      <c r="G56" s="627"/>
      <c r="H56" s="125"/>
      <c r="I56" s="125"/>
      <c r="J56" s="125"/>
      <c r="K56" s="125"/>
      <c r="L56" s="125"/>
      <c r="M56" s="125"/>
      <c r="N56" s="125"/>
      <c r="O56" s="125"/>
      <c r="P56" s="125"/>
      <c r="Q56" s="125"/>
      <c r="R56" s="125"/>
      <c r="S56" s="125"/>
      <c r="T56" s="125"/>
    </row>
    <row r="57" spans="1:20" ht="15">
      <c r="A57" s="626"/>
      <c r="B57" s="614"/>
      <c r="C57" s="614"/>
      <c r="D57" s="614"/>
      <c r="E57" s="615"/>
      <c r="F57" s="614"/>
      <c r="G57" s="627"/>
      <c r="H57" s="125"/>
      <c r="I57" s="125"/>
      <c r="J57" s="125"/>
      <c r="K57" s="125"/>
      <c r="L57" s="125"/>
      <c r="M57" s="125"/>
      <c r="N57" s="125"/>
      <c r="O57" s="125"/>
      <c r="P57" s="125"/>
      <c r="Q57" s="125"/>
      <c r="R57" s="125"/>
      <c r="S57" s="125"/>
      <c r="T57" s="125"/>
    </row>
    <row r="58" spans="1:20" ht="15">
      <c r="A58" s="626"/>
      <c r="B58" s="614"/>
      <c r="C58" s="614"/>
      <c r="D58" s="614"/>
      <c r="E58" s="615"/>
      <c r="F58" s="614"/>
      <c r="G58" s="627"/>
      <c r="H58" s="125"/>
      <c r="I58" s="125"/>
      <c r="J58" s="125"/>
      <c r="K58" s="125"/>
      <c r="L58" s="125"/>
      <c r="M58" s="125"/>
      <c r="N58" s="125"/>
      <c r="O58" s="125"/>
      <c r="P58" s="125"/>
      <c r="Q58" s="125"/>
      <c r="R58" s="125"/>
      <c r="S58" s="125"/>
      <c r="T58" s="125"/>
    </row>
    <row r="59" spans="1:20" ht="15">
      <c r="A59" s="626"/>
      <c r="B59" s="614"/>
      <c r="C59" s="614"/>
      <c r="D59" s="614"/>
      <c r="E59" s="615"/>
      <c r="F59" s="614"/>
      <c r="G59" s="627"/>
      <c r="H59" s="125"/>
      <c r="I59" s="125"/>
      <c r="J59" s="125"/>
      <c r="K59" s="125"/>
      <c r="L59" s="125"/>
      <c r="M59" s="125"/>
      <c r="N59" s="125"/>
      <c r="O59" s="125"/>
      <c r="P59" s="125"/>
      <c r="Q59" s="125"/>
      <c r="R59" s="125"/>
      <c r="S59" s="125"/>
      <c r="T59" s="125"/>
    </row>
    <row r="60" spans="1:20" ht="15">
      <c r="A60" s="626"/>
      <c r="B60" s="614"/>
      <c r="C60" s="614"/>
      <c r="D60" s="614"/>
      <c r="E60" s="615"/>
      <c r="F60" s="614"/>
      <c r="G60" s="627"/>
      <c r="H60" s="125"/>
      <c r="I60" s="125"/>
      <c r="J60" s="125"/>
      <c r="K60" s="125"/>
      <c r="L60" s="125"/>
      <c r="M60" s="125"/>
      <c r="N60" s="125"/>
      <c r="O60" s="125"/>
      <c r="P60" s="125"/>
      <c r="Q60" s="125"/>
      <c r="R60" s="125"/>
      <c r="S60" s="125"/>
      <c r="T60" s="125"/>
    </row>
    <row r="61" spans="1:20" ht="15">
      <c r="A61" s="626"/>
      <c r="B61" s="614"/>
      <c r="C61" s="614"/>
      <c r="D61" s="614"/>
      <c r="E61" s="615"/>
      <c r="F61" s="614"/>
      <c r="G61" s="627"/>
      <c r="H61" s="125"/>
      <c r="I61" s="125"/>
      <c r="J61" s="125"/>
      <c r="K61" s="125"/>
      <c r="L61" s="125"/>
      <c r="M61" s="125"/>
      <c r="N61" s="125"/>
      <c r="O61" s="125"/>
      <c r="P61" s="125"/>
      <c r="Q61" s="125"/>
      <c r="R61" s="125"/>
      <c r="S61" s="125"/>
      <c r="T61" s="125"/>
    </row>
    <row r="62" spans="1:20" ht="15">
      <c r="A62" s="626"/>
      <c r="B62" s="614"/>
      <c r="C62" s="614"/>
      <c r="D62" s="614"/>
      <c r="E62" s="615"/>
      <c r="F62" s="614"/>
      <c r="G62" s="627"/>
      <c r="H62" s="125"/>
      <c r="I62" s="125"/>
      <c r="J62" s="125"/>
      <c r="K62" s="125"/>
      <c r="L62" s="125"/>
      <c r="M62" s="125"/>
      <c r="N62" s="125"/>
      <c r="O62" s="125"/>
      <c r="P62" s="125"/>
      <c r="Q62" s="125"/>
      <c r="R62" s="125"/>
      <c r="S62" s="125"/>
      <c r="T62" s="125"/>
    </row>
    <row r="63" spans="1:20" ht="15">
      <c r="A63" s="626"/>
      <c r="B63" s="614"/>
      <c r="C63" s="614"/>
      <c r="D63" s="614"/>
      <c r="E63" s="615"/>
      <c r="F63" s="614"/>
      <c r="G63" s="627"/>
      <c r="H63" s="125"/>
      <c r="I63" s="125"/>
      <c r="J63" s="125"/>
      <c r="K63" s="125"/>
      <c r="L63" s="125"/>
      <c r="M63" s="125"/>
      <c r="N63" s="125"/>
      <c r="O63" s="125"/>
      <c r="P63" s="125"/>
      <c r="Q63" s="125"/>
      <c r="R63" s="125"/>
      <c r="S63" s="125"/>
      <c r="T63" s="125"/>
    </row>
    <row r="64" spans="1:20" ht="15">
      <c r="A64" s="626"/>
      <c r="B64" s="614"/>
      <c r="C64" s="614"/>
      <c r="D64" s="614"/>
      <c r="E64" s="615"/>
      <c r="F64" s="614"/>
      <c r="G64" s="627"/>
      <c r="H64" s="125"/>
      <c r="I64" s="125"/>
      <c r="J64" s="125"/>
      <c r="K64" s="125"/>
      <c r="L64" s="125"/>
      <c r="M64" s="125"/>
      <c r="N64" s="125"/>
      <c r="O64" s="125"/>
      <c r="P64" s="125"/>
      <c r="Q64" s="125"/>
      <c r="R64" s="125"/>
      <c r="S64" s="125"/>
      <c r="T64" s="125"/>
    </row>
    <row r="65" spans="1:20" ht="15">
      <c r="A65" s="626"/>
      <c r="B65" s="614"/>
      <c r="C65" s="614"/>
      <c r="D65" s="614"/>
      <c r="E65" s="615"/>
      <c r="F65" s="614"/>
      <c r="G65" s="627"/>
      <c r="H65" s="125"/>
      <c r="I65" s="125"/>
      <c r="J65" s="125"/>
      <c r="K65" s="125"/>
      <c r="L65" s="125"/>
      <c r="M65" s="125"/>
      <c r="N65" s="125"/>
      <c r="O65" s="125"/>
      <c r="P65" s="125"/>
      <c r="Q65" s="125"/>
      <c r="R65" s="125"/>
      <c r="S65" s="125"/>
      <c r="T65" s="125"/>
    </row>
    <row r="66" spans="1:20" ht="15" thickBot="1">
      <c r="A66" s="646"/>
      <c r="B66" s="647"/>
      <c r="C66" s="647"/>
      <c r="D66" s="647"/>
      <c r="E66" s="647"/>
      <c r="F66" s="647"/>
      <c r="G66" s="648"/>
      <c r="H66" s="125"/>
      <c r="I66" s="125"/>
      <c r="J66" s="125"/>
      <c r="K66" s="125"/>
      <c r="L66" s="125"/>
      <c r="M66" s="125"/>
      <c r="N66" s="125"/>
      <c r="O66" s="125"/>
      <c r="P66" s="125"/>
      <c r="Q66" s="125"/>
      <c r="R66" s="125"/>
      <c r="S66" s="125"/>
      <c r="T66" s="125"/>
    </row>
    <row r="67" spans="1:20" ht="15">
      <c r="A67" s="1386" t="s">
        <v>663</v>
      </c>
      <c r="B67" s="1387"/>
      <c r="C67" s="693"/>
      <c r="D67" s="694"/>
      <c r="E67" s="694"/>
      <c r="F67" s="694"/>
      <c r="G67" s="695"/>
      <c r="H67" s="125"/>
      <c r="I67" s="125"/>
      <c r="J67" s="125"/>
      <c r="K67" s="125"/>
      <c r="L67" s="125"/>
      <c r="M67" s="125"/>
      <c r="N67" s="125"/>
      <c r="O67" s="125"/>
      <c r="P67" s="125"/>
      <c r="Q67" s="125"/>
      <c r="R67" s="125"/>
      <c r="S67" s="125"/>
      <c r="T67" s="125"/>
    </row>
    <row r="68" spans="1:20">
      <c r="A68" s="628"/>
      <c r="B68" s="616"/>
      <c r="C68" s="616"/>
      <c r="D68" s="616"/>
      <c r="E68" s="616"/>
      <c r="F68" s="616"/>
      <c r="G68" s="629"/>
      <c r="H68" s="125"/>
      <c r="I68" s="125"/>
      <c r="J68" s="125"/>
      <c r="K68" s="125"/>
      <c r="L68" s="125"/>
      <c r="M68" s="125"/>
      <c r="N68" s="125"/>
      <c r="O68" s="125"/>
      <c r="P68" s="125"/>
      <c r="Q68" s="125"/>
      <c r="R68" s="125"/>
      <c r="S68" s="125"/>
      <c r="T68" s="125"/>
    </row>
    <row r="69" spans="1:20">
      <c r="A69" s="628"/>
      <c r="B69" s="616"/>
      <c r="C69" s="616"/>
      <c r="D69" s="616"/>
      <c r="E69" s="616"/>
      <c r="F69" s="616"/>
      <c r="G69" s="629"/>
      <c r="H69" s="125"/>
      <c r="I69" s="125"/>
      <c r="J69" s="125"/>
      <c r="K69" s="125"/>
      <c r="L69" s="125"/>
      <c r="M69" s="125"/>
      <c r="N69" s="125"/>
      <c r="O69" s="125"/>
      <c r="P69" s="125"/>
      <c r="Q69" s="125"/>
      <c r="R69" s="125"/>
      <c r="S69" s="125"/>
      <c r="T69" s="125"/>
    </row>
    <row r="70" spans="1:20">
      <c r="A70" s="628"/>
      <c r="B70" s="616"/>
      <c r="C70" s="616"/>
      <c r="D70" s="616"/>
      <c r="E70" s="616"/>
      <c r="F70" s="616"/>
      <c r="G70" s="629"/>
      <c r="H70" s="125"/>
      <c r="I70" s="125"/>
      <c r="J70" s="125"/>
      <c r="K70" s="125"/>
      <c r="L70" s="125"/>
      <c r="M70" s="125"/>
      <c r="N70" s="125"/>
      <c r="O70" s="125"/>
      <c r="P70" s="125"/>
      <c r="Q70" s="125"/>
      <c r="R70" s="125"/>
      <c r="S70" s="125"/>
      <c r="T70" s="125"/>
    </row>
    <row r="71" spans="1:20">
      <c r="A71" s="628"/>
      <c r="B71" s="616"/>
      <c r="C71" s="616"/>
      <c r="D71" s="616"/>
      <c r="E71" s="616"/>
      <c r="F71" s="616"/>
      <c r="G71" s="629"/>
      <c r="H71" s="125"/>
      <c r="I71" s="125"/>
      <c r="J71" s="125"/>
      <c r="K71" s="125"/>
      <c r="L71" s="125"/>
      <c r="M71" s="125"/>
      <c r="N71" s="125"/>
      <c r="O71" s="125"/>
      <c r="P71" s="125"/>
      <c r="Q71" s="125"/>
      <c r="R71" s="125"/>
      <c r="S71" s="125"/>
      <c r="T71" s="125"/>
    </row>
    <row r="72" spans="1:20">
      <c r="A72" s="628"/>
      <c r="B72" s="616"/>
      <c r="C72" s="616"/>
      <c r="D72" s="616"/>
      <c r="E72" s="616"/>
      <c r="F72" s="616"/>
      <c r="G72" s="629"/>
      <c r="H72" s="125"/>
      <c r="I72" s="125"/>
      <c r="J72" s="125"/>
      <c r="K72" s="125"/>
      <c r="L72" s="125"/>
      <c r="M72" s="125"/>
      <c r="N72" s="125"/>
      <c r="O72" s="125"/>
      <c r="P72" s="125"/>
      <c r="Q72" s="125"/>
      <c r="R72" s="125"/>
      <c r="S72" s="125"/>
      <c r="T72" s="125"/>
    </row>
    <row r="73" spans="1:20">
      <c r="A73" s="628"/>
      <c r="B73" s="616"/>
      <c r="C73" s="616"/>
      <c r="D73" s="616"/>
      <c r="E73" s="616"/>
      <c r="F73" s="616"/>
      <c r="G73" s="629"/>
      <c r="H73" s="125"/>
      <c r="I73" s="125"/>
      <c r="J73" s="125"/>
      <c r="K73" s="125"/>
      <c r="L73" s="125"/>
      <c r="M73" s="125"/>
      <c r="N73" s="125"/>
      <c r="O73" s="125"/>
      <c r="P73" s="125"/>
      <c r="Q73" s="125"/>
      <c r="R73" s="125"/>
      <c r="S73" s="125"/>
      <c r="T73" s="125"/>
    </row>
    <row r="74" spans="1:20">
      <c r="A74" s="628"/>
      <c r="B74" s="616"/>
      <c r="C74" s="616"/>
      <c r="D74" s="616"/>
      <c r="E74" s="616"/>
      <c r="F74" s="616"/>
      <c r="G74" s="629"/>
      <c r="H74" s="125"/>
      <c r="I74" s="125"/>
      <c r="J74" s="125"/>
      <c r="K74" s="125"/>
      <c r="L74" s="125"/>
      <c r="M74" s="125"/>
      <c r="N74" s="125"/>
      <c r="O74" s="125"/>
      <c r="P74" s="125"/>
      <c r="Q74" s="125"/>
      <c r="R74" s="125"/>
      <c r="S74" s="125"/>
      <c r="T74" s="125"/>
    </row>
    <row r="75" spans="1:20">
      <c r="A75" s="628"/>
      <c r="B75" s="616"/>
      <c r="C75" s="616"/>
      <c r="D75" s="616"/>
      <c r="E75" s="616"/>
      <c r="F75" s="616"/>
      <c r="G75" s="629"/>
      <c r="H75" s="125"/>
      <c r="I75" s="125"/>
      <c r="J75" s="125"/>
      <c r="K75" s="125"/>
      <c r="L75" s="125"/>
      <c r="M75" s="125"/>
      <c r="N75" s="125"/>
      <c r="O75" s="125"/>
      <c r="P75" s="125"/>
      <c r="Q75" s="125"/>
      <c r="R75" s="125"/>
      <c r="S75" s="125"/>
      <c r="T75" s="125"/>
    </row>
    <row r="76" spans="1:20">
      <c r="A76" s="628"/>
      <c r="B76" s="616"/>
      <c r="C76" s="616"/>
      <c r="D76" s="616"/>
      <c r="E76" s="616"/>
      <c r="F76" s="616"/>
      <c r="G76" s="629"/>
      <c r="H76" s="125"/>
      <c r="I76" s="125"/>
      <c r="J76" s="125"/>
      <c r="K76" s="125"/>
      <c r="L76" s="125"/>
      <c r="M76" s="125"/>
      <c r="N76" s="125"/>
      <c r="O76" s="125"/>
      <c r="P76" s="125"/>
      <c r="Q76" s="125"/>
      <c r="R76" s="125"/>
      <c r="S76" s="125"/>
      <c r="T76" s="125"/>
    </row>
    <row r="77" spans="1:20">
      <c r="A77" s="628"/>
      <c r="B77" s="616"/>
      <c r="C77" s="616"/>
      <c r="D77" s="616"/>
      <c r="E77" s="616"/>
      <c r="F77" s="616"/>
      <c r="G77" s="629"/>
      <c r="H77" s="125"/>
      <c r="I77" s="125"/>
      <c r="J77" s="125"/>
      <c r="K77" s="125"/>
      <c r="L77" s="125"/>
      <c r="M77" s="125"/>
      <c r="N77" s="125"/>
      <c r="O77" s="125"/>
      <c r="P77" s="125"/>
      <c r="Q77" s="125"/>
      <c r="R77" s="125"/>
      <c r="S77" s="125"/>
      <c r="T77" s="125"/>
    </row>
    <row r="78" spans="1:20">
      <c r="A78" s="628"/>
      <c r="B78" s="616"/>
      <c r="C78" s="616"/>
      <c r="D78" s="616"/>
      <c r="E78" s="616"/>
      <c r="F78" s="616"/>
      <c r="G78" s="1393"/>
      <c r="H78" s="125"/>
      <c r="I78" s="125"/>
      <c r="J78" s="125"/>
      <c r="K78" s="125"/>
      <c r="L78" s="125"/>
      <c r="M78" s="125"/>
      <c r="N78" s="125"/>
      <c r="O78" s="125"/>
      <c r="P78" s="125"/>
      <c r="Q78" s="125"/>
      <c r="R78" s="125"/>
      <c r="S78" s="125"/>
      <c r="T78" s="125"/>
    </row>
    <row r="79" spans="1:20">
      <c r="A79" s="628"/>
      <c r="B79" s="616"/>
      <c r="C79" s="616"/>
      <c r="D79" s="616"/>
      <c r="E79" s="616"/>
      <c r="F79" s="616"/>
      <c r="G79" s="1394"/>
      <c r="H79" s="125"/>
      <c r="I79" s="125"/>
      <c r="J79" s="125"/>
      <c r="K79" s="125"/>
      <c r="L79" s="125"/>
      <c r="M79" s="125"/>
      <c r="N79" s="125"/>
      <c r="O79" s="125"/>
      <c r="P79" s="125"/>
      <c r="Q79" s="125"/>
      <c r="R79" s="125"/>
      <c r="S79" s="125"/>
      <c r="T79" s="125"/>
    </row>
    <row r="80" spans="1:20">
      <c r="A80" s="628"/>
      <c r="B80" s="616"/>
      <c r="C80" s="616"/>
      <c r="D80" s="616"/>
      <c r="E80" s="616"/>
      <c r="F80" s="616"/>
      <c r="G80" s="1394"/>
      <c r="H80" s="125"/>
      <c r="I80" s="125"/>
      <c r="J80" s="125"/>
      <c r="K80" s="125"/>
      <c r="L80" s="125"/>
      <c r="M80" s="125"/>
      <c r="N80" s="125"/>
      <c r="O80" s="125"/>
      <c r="P80" s="125"/>
      <c r="Q80" s="125"/>
      <c r="R80" s="125"/>
      <c r="S80" s="125"/>
      <c r="T80" s="125"/>
    </row>
    <row r="81" spans="1:20">
      <c r="A81" s="628"/>
      <c r="B81" s="616"/>
      <c r="C81" s="616"/>
      <c r="D81" s="616"/>
      <c r="E81" s="616"/>
      <c r="F81" s="616"/>
      <c r="G81" s="1394"/>
      <c r="H81" s="125"/>
      <c r="I81" s="125"/>
      <c r="J81" s="125"/>
      <c r="K81" s="125"/>
      <c r="L81" s="125"/>
      <c r="M81" s="125"/>
      <c r="N81" s="125"/>
      <c r="O81" s="125"/>
      <c r="P81" s="125"/>
      <c r="Q81" s="125"/>
      <c r="R81" s="125"/>
      <c r="S81" s="125"/>
      <c r="T81" s="125"/>
    </row>
    <row r="82" spans="1:20">
      <c r="A82" s="628"/>
      <c r="B82" s="616"/>
      <c r="C82" s="616"/>
      <c r="D82" s="616"/>
      <c r="E82" s="616"/>
      <c r="F82" s="616"/>
      <c r="G82" s="629"/>
      <c r="H82" s="125"/>
      <c r="I82" s="125"/>
      <c r="J82" s="125"/>
      <c r="K82" s="125"/>
      <c r="L82" s="125"/>
      <c r="M82" s="125"/>
      <c r="N82" s="125"/>
      <c r="O82" s="125"/>
      <c r="P82" s="125"/>
      <c r="Q82" s="125"/>
      <c r="R82" s="125"/>
      <c r="S82" s="125"/>
      <c r="T82" s="125"/>
    </row>
    <row r="83" spans="1:20">
      <c r="A83" s="628"/>
      <c r="B83" s="616"/>
      <c r="C83" s="616"/>
      <c r="D83" s="616"/>
      <c r="E83" s="616"/>
      <c r="F83" s="616"/>
      <c r="G83" s="629"/>
      <c r="H83" s="125"/>
      <c r="I83" s="125"/>
      <c r="J83" s="125"/>
      <c r="K83" s="125"/>
      <c r="L83" s="125"/>
      <c r="M83" s="125"/>
      <c r="N83" s="125"/>
      <c r="O83" s="125"/>
      <c r="P83" s="125"/>
      <c r="Q83" s="125"/>
      <c r="R83" s="125"/>
      <c r="S83" s="125"/>
      <c r="T83" s="125"/>
    </row>
    <row r="84" spans="1:20">
      <c r="A84" s="628"/>
      <c r="B84" s="616"/>
      <c r="C84" s="616"/>
      <c r="D84" s="616"/>
      <c r="E84" s="616"/>
      <c r="F84" s="616"/>
      <c r="G84" s="629"/>
      <c r="H84" s="125"/>
      <c r="I84" s="125"/>
      <c r="J84" s="125"/>
      <c r="K84" s="125"/>
      <c r="L84" s="125"/>
      <c r="M84" s="125"/>
      <c r="N84" s="125"/>
      <c r="O84" s="125"/>
      <c r="P84" s="125"/>
      <c r="Q84" s="125"/>
      <c r="R84" s="125"/>
      <c r="S84" s="125"/>
      <c r="T84" s="125"/>
    </row>
    <row r="85" spans="1:20">
      <c r="A85" s="628"/>
      <c r="B85" s="616"/>
      <c r="C85" s="616"/>
      <c r="D85" s="616"/>
      <c r="E85" s="616"/>
      <c r="F85" s="616"/>
      <c r="G85" s="629"/>
      <c r="H85" s="125"/>
      <c r="I85" s="125"/>
      <c r="J85" s="125"/>
      <c r="K85" s="125"/>
      <c r="L85" s="125"/>
      <c r="M85" s="125"/>
      <c r="N85" s="125"/>
      <c r="O85" s="125"/>
      <c r="P85" s="125"/>
      <c r="Q85" s="125"/>
      <c r="R85" s="125"/>
      <c r="S85" s="125"/>
      <c r="T85" s="125"/>
    </row>
    <row r="86" spans="1:20">
      <c r="A86" s="628"/>
      <c r="B86" s="616"/>
      <c r="C86" s="616"/>
      <c r="D86" s="616"/>
      <c r="E86" s="616"/>
      <c r="F86" s="616"/>
      <c r="G86" s="629"/>
    </row>
    <row r="87" spans="1:20">
      <c r="A87" s="628"/>
      <c r="B87" s="616"/>
      <c r="C87" s="616"/>
      <c r="D87" s="616"/>
      <c r="E87" s="616"/>
      <c r="F87" s="616"/>
      <c r="G87" s="629"/>
    </row>
    <row r="88" spans="1:20" ht="15" thickBot="1">
      <c r="A88" s="630"/>
      <c r="B88" s="631"/>
      <c r="C88" s="631"/>
      <c r="D88" s="631"/>
      <c r="E88" s="631"/>
      <c r="F88" s="631"/>
      <c r="G88" s="632"/>
    </row>
    <row r="89" spans="1:20" ht="14.25" customHeight="1">
      <c r="A89" s="633" t="s">
        <v>664</v>
      </c>
      <c r="B89" s="1388" t="s">
        <v>474</v>
      </c>
      <c r="C89" s="1389"/>
      <c r="D89" s="1389"/>
      <c r="E89" s="1389"/>
      <c r="F89" s="1389"/>
      <c r="G89" s="1390"/>
    </row>
    <row r="90" spans="1:20">
      <c r="A90" s="628"/>
      <c r="B90" s="616"/>
      <c r="C90" s="616"/>
      <c r="D90" s="696"/>
      <c r="E90" s="616"/>
      <c r="F90" s="616"/>
      <c r="G90" s="629"/>
    </row>
    <row r="91" spans="1:20">
      <c r="A91" s="628"/>
      <c r="B91" s="616"/>
      <c r="C91" s="616"/>
      <c r="D91" s="696"/>
      <c r="E91" s="616"/>
      <c r="F91" s="616"/>
      <c r="G91" s="629"/>
    </row>
    <row r="92" spans="1:20">
      <c r="A92" s="628"/>
      <c r="B92" s="616"/>
      <c r="C92" s="616"/>
      <c r="D92" s="616"/>
      <c r="E92" s="616"/>
      <c r="F92" s="616"/>
      <c r="G92" s="629"/>
    </row>
    <row r="93" spans="1:20">
      <c r="A93" s="628"/>
      <c r="B93" s="616"/>
      <c r="C93" s="616"/>
      <c r="D93" s="616"/>
      <c r="E93" s="616"/>
      <c r="F93" s="616"/>
      <c r="G93" s="629"/>
    </row>
    <row r="94" spans="1:20">
      <c r="A94" s="628"/>
      <c r="B94" s="616"/>
      <c r="C94" s="616"/>
      <c r="D94" s="616"/>
      <c r="E94" s="616"/>
      <c r="F94" s="616"/>
      <c r="G94" s="629"/>
    </row>
    <row r="95" spans="1:20">
      <c r="A95" s="628"/>
      <c r="B95" s="616"/>
      <c r="C95" s="616"/>
      <c r="D95" s="616"/>
      <c r="E95" s="616"/>
      <c r="F95" s="616"/>
      <c r="G95" s="629"/>
    </row>
    <row r="96" spans="1:20">
      <c r="A96" s="628"/>
      <c r="B96" s="616"/>
      <c r="C96" s="616"/>
      <c r="D96" s="616"/>
      <c r="E96" s="616"/>
      <c r="F96" s="616"/>
      <c r="G96" s="698"/>
    </row>
    <row r="97" spans="1:8">
      <c r="A97" s="628"/>
      <c r="B97" s="616"/>
      <c r="C97" s="616"/>
      <c r="D97" s="616"/>
      <c r="E97" s="616"/>
      <c r="F97" s="616"/>
      <c r="G97" s="629"/>
    </row>
    <row r="98" spans="1:8">
      <c r="A98" s="628"/>
      <c r="B98" s="616"/>
      <c r="C98" s="616"/>
      <c r="D98" s="616"/>
      <c r="E98" s="616"/>
      <c r="F98" s="616"/>
      <c r="G98" s="699"/>
    </row>
    <row r="99" spans="1:8">
      <c r="A99" s="628"/>
      <c r="B99" s="616"/>
      <c r="C99" s="616"/>
      <c r="D99" s="616"/>
      <c r="E99" s="616"/>
      <c r="F99" s="616"/>
      <c r="G99" s="629"/>
    </row>
    <row r="100" spans="1:8">
      <c r="A100" s="628"/>
      <c r="B100" s="616"/>
      <c r="C100" s="616"/>
      <c r="D100" s="616"/>
      <c r="E100" s="616"/>
      <c r="F100" s="616"/>
      <c r="G100" s="629"/>
    </row>
    <row r="101" spans="1:8">
      <c r="A101" s="628"/>
      <c r="B101" s="616"/>
      <c r="C101" s="616"/>
      <c r="D101" s="616"/>
      <c r="E101" s="616"/>
      <c r="F101" s="616"/>
      <c r="G101" s="629"/>
    </row>
    <row r="102" spans="1:8">
      <c r="A102" s="628"/>
      <c r="B102" s="616"/>
      <c r="C102" s="616"/>
      <c r="D102" s="616"/>
      <c r="E102" s="616"/>
      <c r="F102" s="616"/>
      <c r="G102" s="629"/>
    </row>
    <row r="103" spans="1:8">
      <c r="A103" s="628"/>
      <c r="B103" s="616"/>
      <c r="C103" s="616"/>
      <c r="D103" s="616"/>
      <c r="E103" s="616"/>
      <c r="F103" s="616"/>
      <c r="G103" s="629"/>
    </row>
    <row r="104" spans="1:8">
      <c r="A104" s="628"/>
      <c r="B104" s="616"/>
      <c r="C104" s="616"/>
      <c r="D104" s="616"/>
      <c r="E104" s="616"/>
      <c r="F104" s="616"/>
      <c r="G104" s="629"/>
      <c r="H104" s="123"/>
    </row>
    <row r="105" spans="1:8">
      <c r="A105" s="628"/>
      <c r="B105" s="616"/>
      <c r="C105" s="616"/>
      <c r="D105" s="616"/>
      <c r="E105" s="616"/>
      <c r="F105" s="616"/>
      <c r="G105" s="629"/>
    </row>
    <row r="106" spans="1:8">
      <c r="A106" s="628"/>
      <c r="B106" s="616"/>
      <c r="C106" s="616"/>
      <c r="D106" s="616"/>
      <c r="E106" s="616"/>
      <c r="F106" s="616"/>
      <c r="G106" s="629"/>
    </row>
    <row r="107" spans="1:8">
      <c r="A107" s="628"/>
      <c r="B107" s="616"/>
      <c r="C107" s="616"/>
      <c r="D107" s="616"/>
      <c r="E107" s="616"/>
      <c r="F107" s="616"/>
      <c r="G107" s="629"/>
    </row>
    <row r="108" spans="1:8">
      <c r="A108" s="628"/>
      <c r="B108" s="616"/>
      <c r="C108" s="616"/>
      <c r="D108" s="616"/>
      <c r="E108" s="616"/>
      <c r="F108" s="616"/>
      <c r="G108" s="629"/>
    </row>
    <row r="109" spans="1:8">
      <c r="A109" s="628"/>
      <c r="B109" s="616"/>
      <c r="C109" s="616"/>
      <c r="D109" s="616"/>
      <c r="E109" s="616"/>
      <c r="F109" s="616"/>
      <c r="G109" s="629"/>
    </row>
    <row r="110" spans="1:8">
      <c r="A110" s="646"/>
      <c r="B110" s="647"/>
      <c r="C110" s="647"/>
      <c r="D110" s="647"/>
      <c r="E110" s="647"/>
      <c r="F110" s="647"/>
      <c r="G110" s="648"/>
    </row>
    <row r="111" spans="1:8">
      <c r="A111" s="700"/>
      <c r="B111" s="697"/>
      <c r="C111" s="697"/>
      <c r="D111" s="697"/>
      <c r="E111" s="697"/>
      <c r="F111" s="697"/>
      <c r="G111" s="701"/>
    </row>
    <row r="112" spans="1:8">
      <c r="A112" s="1401" t="s">
        <v>475</v>
      </c>
      <c r="B112" s="1402"/>
      <c r="C112" s="1402"/>
      <c r="D112" s="1402"/>
      <c r="E112" s="1402"/>
      <c r="F112" s="1402"/>
      <c r="G112" s="1403"/>
    </row>
    <row r="113" spans="1:7">
      <c r="A113" s="628"/>
      <c r="B113" s="616"/>
      <c r="C113" s="616"/>
      <c r="D113" s="616"/>
      <c r="E113" s="616"/>
      <c r="F113" s="616"/>
      <c r="G113" s="629"/>
    </row>
    <row r="114" spans="1:7">
      <c r="A114" s="628"/>
      <c r="B114" s="616"/>
      <c r="C114" s="616"/>
      <c r="D114" s="616"/>
      <c r="E114" s="616"/>
      <c r="F114" s="616"/>
      <c r="G114" s="629"/>
    </row>
    <row r="115" spans="1:7">
      <c r="A115" s="628"/>
      <c r="B115" s="616"/>
      <c r="C115" s="616"/>
      <c r="D115" s="616"/>
      <c r="E115" s="616"/>
      <c r="F115" s="616"/>
      <c r="G115" s="629"/>
    </row>
    <row r="116" spans="1:7">
      <c r="A116" s="628"/>
      <c r="B116" s="616"/>
      <c r="C116" s="616"/>
      <c r="D116" s="616"/>
      <c r="E116" s="616"/>
      <c r="F116" s="616"/>
      <c r="G116" s="702"/>
    </row>
    <row r="117" spans="1:7">
      <c r="A117" s="628"/>
      <c r="B117" s="616"/>
      <c r="C117" s="616"/>
      <c r="D117" s="616"/>
      <c r="E117" s="616"/>
      <c r="F117" s="616"/>
      <c r="G117" s="703"/>
    </row>
    <row r="118" spans="1:7">
      <c r="A118" s="628"/>
      <c r="B118" s="616"/>
      <c r="C118" s="616"/>
      <c r="D118" s="616"/>
      <c r="E118" s="616"/>
      <c r="F118" s="616"/>
      <c r="G118" s="703"/>
    </row>
    <row r="119" spans="1:7">
      <c r="A119" s="628"/>
      <c r="B119" s="616"/>
      <c r="C119" s="616"/>
      <c r="D119" s="616"/>
      <c r="E119" s="616"/>
      <c r="F119" s="616"/>
      <c r="G119" s="629"/>
    </row>
    <row r="120" spans="1:7">
      <c r="A120" s="628"/>
      <c r="B120" s="616"/>
      <c r="C120" s="616"/>
      <c r="D120" s="616"/>
      <c r="E120" s="616"/>
      <c r="F120" s="616"/>
      <c r="G120" s="629"/>
    </row>
    <row r="121" spans="1:7">
      <c r="A121" s="628"/>
      <c r="B121" s="616"/>
      <c r="C121" s="616"/>
      <c r="D121" s="616"/>
      <c r="E121" s="616"/>
      <c r="F121" s="616"/>
      <c r="G121" s="629"/>
    </row>
    <row r="122" spans="1:7">
      <c r="A122" s="628"/>
      <c r="B122" s="616"/>
      <c r="C122" s="616"/>
      <c r="D122" s="616"/>
      <c r="E122" s="616"/>
      <c r="F122" s="616"/>
      <c r="G122" s="629"/>
    </row>
    <row r="123" spans="1:7">
      <c r="A123" s="628"/>
      <c r="B123" s="616"/>
      <c r="C123" s="616"/>
      <c r="D123" s="616"/>
      <c r="E123" s="616"/>
      <c r="F123" s="616"/>
      <c r="G123" s="629"/>
    </row>
    <row r="124" spans="1:7">
      <c r="A124" s="628"/>
      <c r="B124" s="616"/>
      <c r="C124" s="616"/>
      <c r="D124" s="616"/>
      <c r="E124" s="616"/>
      <c r="F124" s="616"/>
      <c r="G124" s="629"/>
    </row>
    <row r="125" spans="1:7">
      <c r="A125" s="628"/>
      <c r="B125" s="616"/>
      <c r="C125" s="616"/>
      <c r="D125" s="616"/>
      <c r="E125" s="616"/>
      <c r="F125" s="616"/>
      <c r="G125" s="629"/>
    </row>
    <row r="126" spans="1:7">
      <c r="A126" s="628"/>
      <c r="B126" s="616"/>
      <c r="C126" s="616"/>
      <c r="D126" s="616"/>
      <c r="E126" s="616"/>
      <c r="F126" s="616"/>
      <c r="G126" s="629"/>
    </row>
    <row r="127" spans="1:7">
      <c r="A127" s="628"/>
      <c r="B127" s="616"/>
      <c r="C127" s="616"/>
      <c r="D127" s="616"/>
      <c r="E127" s="616"/>
      <c r="F127" s="616"/>
      <c r="G127" s="629"/>
    </row>
    <row r="128" spans="1:7">
      <c r="A128" s="628"/>
      <c r="B128" s="616"/>
      <c r="C128" s="616"/>
      <c r="D128" s="616"/>
      <c r="E128" s="616"/>
      <c r="F128" s="616"/>
      <c r="G128" s="629"/>
    </row>
    <row r="129" spans="1:7">
      <c r="A129" s="628"/>
      <c r="B129" s="616"/>
      <c r="C129" s="616"/>
      <c r="D129" s="616"/>
      <c r="E129" s="616"/>
      <c r="F129" s="616"/>
      <c r="G129" s="629"/>
    </row>
    <row r="130" spans="1:7">
      <c r="A130" s="628"/>
      <c r="B130" s="616"/>
      <c r="C130" s="616"/>
      <c r="D130" s="616"/>
      <c r="E130" s="616"/>
      <c r="F130" s="616"/>
      <c r="G130" s="629"/>
    </row>
    <row r="131" spans="1:7">
      <c r="A131" s="628"/>
      <c r="B131" s="616"/>
      <c r="C131" s="616"/>
      <c r="D131" s="616"/>
      <c r="E131" s="616"/>
      <c r="F131" s="616"/>
      <c r="G131" s="629"/>
    </row>
    <row r="132" spans="1:7">
      <c r="A132" s="628"/>
      <c r="B132" s="616"/>
      <c r="C132" s="616"/>
      <c r="D132" s="616"/>
      <c r="E132" s="616"/>
      <c r="F132" s="616"/>
      <c r="G132" s="629"/>
    </row>
    <row r="133" spans="1:7">
      <c r="A133" s="628"/>
      <c r="B133" s="616"/>
      <c r="C133" s="616"/>
      <c r="D133" s="616"/>
      <c r="E133" s="616"/>
      <c r="F133" s="616"/>
      <c r="G133" s="629"/>
    </row>
    <row r="134" spans="1:7">
      <c r="A134" s="628"/>
      <c r="B134" s="616"/>
      <c r="C134" s="616"/>
      <c r="D134" s="616"/>
      <c r="E134" s="616"/>
      <c r="F134" s="616"/>
      <c r="G134" s="629"/>
    </row>
    <row r="135" spans="1:7">
      <c r="A135" s="628"/>
      <c r="B135" s="616"/>
      <c r="C135" s="616"/>
      <c r="D135" s="616"/>
      <c r="E135" s="616"/>
      <c r="F135" s="616"/>
      <c r="G135" s="629"/>
    </row>
    <row r="136" spans="1:7">
      <c r="A136" s="628"/>
      <c r="B136" s="616"/>
      <c r="C136" s="616"/>
      <c r="D136" s="616"/>
      <c r="E136" s="616"/>
      <c r="F136" s="616"/>
      <c r="G136" s="629"/>
    </row>
    <row r="137" spans="1:7">
      <c r="A137" s="628"/>
      <c r="B137" s="616"/>
      <c r="C137" s="616"/>
      <c r="D137" s="616"/>
      <c r="E137" s="616"/>
      <c r="F137" s="616"/>
      <c r="G137" s="702"/>
    </row>
    <row r="138" spans="1:7">
      <c r="A138" s="628"/>
      <c r="B138" s="616"/>
      <c r="C138" s="616"/>
      <c r="D138" s="616"/>
      <c r="E138" s="616"/>
      <c r="F138" s="616"/>
      <c r="G138" s="703"/>
    </row>
    <row r="139" spans="1:7">
      <c r="A139" s="646"/>
      <c r="B139" s="647"/>
      <c r="C139" s="647"/>
      <c r="D139" s="647"/>
      <c r="E139" s="647"/>
      <c r="F139" s="647"/>
      <c r="G139" s="704"/>
    </row>
    <row r="140" spans="1:7" ht="53.25" customHeight="1">
      <c r="A140" s="1404" t="s">
        <v>476</v>
      </c>
      <c r="B140" s="1405"/>
      <c r="C140" s="1405"/>
      <c r="D140" s="1405"/>
      <c r="E140" s="1405"/>
      <c r="F140" s="1405"/>
      <c r="G140" s="1406"/>
    </row>
    <row r="141" spans="1:7">
      <c r="A141" s="628"/>
      <c r="B141" s="616"/>
      <c r="C141" s="616"/>
      <c r="D141" s="616"/>
      <c r="E141" s="616"/>
      <c r="F141" s="616"/>
      <c r="G141" s="629"/>
    </row>
    <row r="142" spans="1:7">
      <c r="A142" s="628"/>
      <c r="B142" s="616"/>
      <c r="C142" s="616"/>
      <c r="D142" s="616"/>
      <c r="E142" s="616"/>
      <c r="F142" s="616"/>
      <c r="G142" s="629"/>
    </row>
    <row r="143" spans="1:7">
      <c r="A143" s="628"/>
      <c r="B143" s="616"/>
      <c r="C143" s="616"/>
      <c r="D143" s="616"/>
      <c r="E143" s="616"/>
      <c r="F143" s="616"/>
      <c r="G143" s="629"/>
    </row>
    <row r="144" spans="1:7">
      <c r="A144" s="628"/>
      <c r="B144" s="616"/>
      <c r="C144" s="616"/>
      <c r="D144" s="616"/>
      <c r="E144" s="616"/>
      <c r="F144" s="616"/>
      <c r="G144" s="629"/>
    </row>
    <row r="145" spans="1:7">
      <c r="A145" s="628"/>
      <c r="B145" s="616"/>
      <c r="C145" s="616"/>
      <c r="D145" s="616"/>
      <c r="E145" s="616"/>
      <c r="F145" s="616"/>
      <c r="G145" s="629"/>
    </row>
    <row r="146" spans="1:7">
      <c r="A146" s="628"/>
      <c r="B146" s="616"/>
      <c r="C146" s="616"/>
      <c r="D146" s="616"/>
      <c r="E146" s="616"/>
      <c r="F146" s="616"/>
      <c r="G146" s="629"/>
    </row>
    <row r="147" spans="1:7">
      <c r="A147" s="628"/>
      <c r="B147" s="616"/>
      <c r="C147" s="616"/>
      <c r="D147" s="616"/>
      <c r="E147" s="616"/>
      <c r="F147" s="616"/>
      <c r="G147" s="629"/>
    </row>
    <row r="148" spans="1:7">
      <c r="A148" s="628"/>
      <c r="B148" s="616"/>
      <c r="C148" s="616"/>
      <c r="D148" s="616"/>
      <c r="E148" s="616"/>
      <c r="F148" s="616"/>
      <c r="G148" s="629"/>
    </row>
    <row r="149" spans="1:7">
      <c r="A149" s="628"/>
      <c r="B149" s="616"/>
      <c r="C149" s="616"/>
      <c r="D149" s="616"/>
      <c r="E149" s="616"/>
      <c r="F149" s="616"/>
      <c r="G149" s="629"/>
    </row>
    <row r="150" spans="1:7">
      <c r="A150" s="628"/>
      <c r="B150" s="616"/>
      <c r="C150" s="616"/>
      <c r="D150" s="616"/>
      <c r="E150" s="616"/>
      <c r="F150" s="616"/>
      <c r="G150" s="629"/>
    </row>
    <row r="151" spans="1:7">
      <c r="A151" s="628"/>
      <c r="B151" s="616"/>
      <c r="C151" s="616"/>
      <c r="D151" s="616"/>
      <c r="E151" s="616"/>
      <c r="F151" s="616"/>
      <c r="G151" s="629"/>
    </row>
    <row r="152" spans="1:7">
      <c r="A152" s="628"/>
      <c r="B152" s="616"/>
      <c r="C152" s="616"/>
      <c r="D152" s="616"/>
      <c r="E152" s="616"/>
      <c r="F152" s="616"/>
      <c r="G152" s="629"/>
    </row>
    <row r="153" spans="1:7">
      <c r="A153" s="628"/>
      <c r="B153" s="616"/>
      <c r="C153" s="616"/>
      <c r="D153" s="616"/>
      <c r="E153" s="616"/>
      <c r="F153" s="616"/>
      <c r="G153" s="629"/>
    </row>
    <row r="154" spans="1:7">
      <c r="A154" s="628"/>
      <c r="B154" s="616"/>
      <c r="C154" s="616"/>
      <c r="D154" s="616"/>
      <c r="E154" s="616"/>
      <c r="F154" s="616"/>
      <c r="G154" s="629"/>
    </row>
    <row r="155" spans="1:7">
      <c r="A155" s="628"/>
      <c r="B155" s="616"/>
      <c r="C155" s="616"/>
      <c r="D155" s="616"/>
      <c r="E155" s="616"/>
      <c r="F155" s="616"/>
      <c r="G155" s="629"/>
    </row>
    <row r="156" spans="1:7">
      <c r="A156" s="628"/>
      <c r="B156" s="616"/>
      <c r="C156" s="616"/>
      <c r="D156" s="616"/>
      <c r="E156" s="616"/>
      <c r="F156" s="616"/>
      <c r="G156" s="629"/>
    </row>
    <row r="157" spans="1:7">
      <c r="A157" s="628"/>
      <c r="B157" s="616"/>
      <c r="C157" s="616"/>
      <c r="D157" s="616"/>
      <c r="E157" s="616"/>
      <c r="F157" s="616"/>
      <c r="G157" s="629"/>
    </row>
    <row r="158" spans="1:7">
      <c r="A158" s="628"/>
      <c r="B158" s="616"/>
      <c r="C158" s="616"/>
      <c r="D158" s="616"/>
      <c r="E158" s="616"/>
      <c r="F158" s="616"/>
      <c r="G158" s="629"/>
    </row>
    <row r="159" spans="1:7">
      <c r="A159" s="628"/>
      <c r="B159" s="616"/>
      <c r="C159" s="616"/>
      <c r="D159" s="616"/>
      <c r="E159" s="616"/>
      <c r="F159" s="616"/>
      <c r="G159" s="1393"/>
    </row>
    <row r="160" spans="1:7">
      <c r="A160" s="628"/>
      <c r="B160" s="616"/>
      <c r="C160" s="616"/>
      <c r="D160" s="616"/>
      <c r="E160" s="616"/>
      <c r="F160" s="616"/>
      <c r="G160" s="1394"/>
    </row>
    <row r="161" spans="1:7">
      <c r="A161" s="628"/>
      <c r="B161" s="616"/>
      <c r="C161" s="616"/>
      <c r="D161" s="616"/>
      <c r="E161" s="616"/>
      <c r="F161" s="616"/>
      <c r="G161" s="1394"/>
    </row>
    <row r="162" spans="1:7">
      <c r="A162" s="628"/>
      <c r="B162" s="616"/>
      <c r="C162" s="616"/>
      <c r="D162" s="616"/>
      <c r="E162" s="616"/>
      <c r="F162" s="616"/>
      <c r="G162" s="629"/>
    </row>
    <row r="163" spans="1:7">
      <c r="A163" s="628"/>
      <c r="B163" s="616"/>
      <c r="C163" s="616"/>
      <c r="D163" s="616"/>
      <c r="E163" s="616"/>
      <c r="F163" s="616"/>
      <c r="G163" s="629"/>
    </row>
    <row r="164" spans="1:7">
      <c r="A164" s="646"/>
      <c r="B164" s="647"/>
      <c r="C164" s="647"/>
      <c r="D164" s="647"/>
      <c r="E164" s="647"/>
      <c r="F164" s="647"/>
      <c r="G164" s="648"/>
    </row>
    <row r="165" spans="1:7" ht="15" thickBot="1">
      <c r="A165" s="654"/>
      <c r="B165" s="619"/>
      <c r="C165" s="642"/>
      <c r="D165" s="642"/>
      <c r="E165" s="642"/>
      <c r="F165" s="619"/>
      <c r="G165" s="645"/>
    </row>
    <row r="166" spans="1:7" ht="15.75" thickBot="1">
      <c r="A166" s="628"/>
      <c r="B166" s="636"/>
      <c r="C166" s="1395" t="s">
        <v>665</v>
      </c>
      <c r="D166" s="1396"/>
      <c r="E166" s="1397"/>
      <c r="F166" s="637"/>
      <c r="G166" s="629"/>
    </row>
    <row r="167" spans="1:7">
      <c r="A167" s="628"/>
      <c r="B167" s="636"/>
      <c r="C167" s="705" t="s">
        <v>477</v>
      </c>
      <c r="D167" s="706" t="s">
        <v>478</v>
      </c>
      <c r="E167" s="707" t="s">
        <v>479</v>
      </c>
      <c r="F167" s="637"/>
      <c r="G167" s="629"/>
    </row>
    <row r="168" spans="1:7" ht="15" thickBot="1">
      <c r="A168" s="628"/>
      <c r="B168" s="636"/>
      <c r="C168" s="708">
        <v>499.9</v>
      </c>
      <c r="D168" s="709">
        <v>374.9</v>
      </c>
      <c r="E168" s="710">
        <v>279.89999999999998</v>
      </c>
      <c r="F168" s="637"/>
      <c r="G168" s="629"/>
    </row>
    <row r="169" spans="1:7" ht="15.75" thickBot="1">
      <c r="A169" s="628"/>
      <c r="B169" s="636"/>
      <c r="C169" s="1398">
        <f>SUM(C168:E168)/3</f>
        <v>384.89999999999992</v>
      </c>
      <c r="D169" s="1399"/>
      <c r="E169" s="1400"/>
      <c r="F169" s="637"/>
      <c r="G169" s="629"/>
    </row>
    <row r="170" spans="1:7" ht="15" thickBot="1">
      <c r="A170" s="630"/>
      <c r="B170" s="631"/>
      <c r="C170" s="656"/>
      <c r="D170" s="656"/>
      <c r="E170" s="656"/>
      <c r="F170" s="631"/>
      <c r="G170" s="632"/>
    </row>
    <row r="179" spans="7:7">
      <c r="G179" s="1391"/>
    </row>
    <row r="180" spans="7:7">
      <c r="G180" s="1392"/>
    </row>
    <row r="181" spans="7:7">
      <c r="G181" s="1392"/>
    </row>
  </sheetData>
  <mergeCells count="34">
    <mergeCell ref="G9:G11"/>
    <mergeCell ref="A1:G3"/>
    <mergeCell ref="A5:A25"/>
    <mergeCell ref="B5:B8"/>
    <mergeCell ref="B9:B14"/>
    <mergeCell ref="G22:G23"/>
    <mergeCell ref="C24:D24"/>
    <mergeCell ref="B25:D25"/>
    <mergeCell ref="G18:G19"/>
    <mergeCell ref="G20:G21"/>
    <mergeCell ref="A42:D43"/>
    <mergeCell ref="D22:D23"/>
    <mergeCell ref="G159:G161"/>
    <mergeCell ref="A26:A41"/>
    <mergeCell ref="B26:B30"/>
    <mergeCell ref="B15:B24"/>
    <mergeCell ref="C18:C19"/>
    <mergeCell ref="D18:D19"/>
    <mergeCell ref="C20:C21"/>
    <mergeCell ref="D20:D21"/>
    <mergeCell ref="C22:C23"/>
    <mergeCell ref="B32:B37"/>
    <mergeCell ref="B38:B40"/>
    <mergeCell ref="B41:D41"/>
    <mergeCell ref="A45:G45"/>
    <mergeCell ref="B46:G46"/>
    <mergeCell ref="A67:B67"/>
    <mergeCell ref="B89:G89"/>
    <mergeCell ref="G179:G181"/>
    <mergeCell ref="G78:G81"/>
    <mergeCell ref="C166:E166"/>
    <mergeCell ref="C169:E169"/>
    <mergeCell ref="A112:G112"/>
    <mergeCell ref="A140:G140"/>
  </mergeCells>
  <conditionalFormatting sqref="C166:E169">
    <cfRule type="expression" dxfId="34" priority="5">
      <formula>CELL("proteger",C166)=0</formula>
    </cfRule>
    <cfRule type="expression" dxfId="33" priority="6">
      <formula>CELL("proteger",C166)=1</formula>
    </cfRule>
  </conditionalFormatting>
  <conditionalFormatting sqref="C166 C167:E168 C169">
    <cfRule type="expression" dxfId="32" priority="4">
      <formula>CELL("proteger",C166)=1</formula>
    </cfRule>
  </conditionalFormatting>
  <hyperlinks>
    <hyperlink ref="B89" r:id="rId1" xr:uid="{D7B68B98-8E97-4E08-8193-9FF71472B7F4}"/>
    <hyperlink ref="B46" r:id="rId2" xr:uid="{D0D00E06-F7A9-4EA6-B4C2-04B4A55B6DC1}"/>
  </hyperlinks>
  <pageMargins left="0.7" right="0.7" top="0.75" bottom="0.75" header="0.3" footer="0.3"/>
  <pageSetup paperSize="9" scale="55" fitToHeight="0" orientation="portrait" r:id="rId3"/>
  <rowBreaks count="3" manualBreakCount="3">
    <brk id="31" max="6" man="1"/>
    <brk id="66" max="6" man="1"/>
    <brk id="139" max="6" man="1"/>
  </rowBreaks>
  <drawing r:id="rId4"/>
  <legacyDrawing r:id="rId5"/>
  <oleObjects>
    <mc:AlternateContent xmlns:mc="http://schemas.openxmlformats.org/markup-compatibility/2006">
      <mc:Choice Requires="x14">
        <oleObject progId="CorelDraw.Graphic.18" shapeId="23553" r:id="rId6">
          <objectPr defaultSize="0" autoPict="0" r:id="rId7">
            <anchor moveWithCells="1">
              <from>
                <xdr:col>1</xdr:col>
                <xdr:colOff>1285875</xdr:colOff>
                <xdr:row>0</xdr:row>
                <xdr:rowOff>76200</xdr:rowOff>
              </from>
              <to>
                <xdr:col>2</xdr:col>
                <xdr:colOff>885825</xdr:colOff>
                <xdr:row>2</xdr:row>
                <xdr:rowOff>266700</xdr:rowOff>
              </to>
            </anchor>
          </objectPr>
        </oleObject>
      </mc:Choice>
      <mc:Fallback>
        <oleObject progId="CorelDraw.Graphic.18" shapeId="23553" r:id="rId6"/>
      </mc:Fallback>
    </mc:AlternateContent>
  </oleObjects>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A2C3E3-3EE0-4ABF-AF02-C2867D10C43A}">
  <sheetPr>
    <tabColor theme="5" tint="0.79998168889431442"/>
    <pageSetUpPr fitToPage="1"/>
  </sheetPr>
  <dimension ref="A1:L85"/>
  <sheetViews>
    <sheetView view="pageBreakPreview" topLeftCell="A34" zoomScaleNormal="100" zoomScaleSheetLayoutView="100" workbookViewId="0">
      <selection activeCell="J52" sqref="J52"/>
    </sheetView>
  </sheetViews>
  <sheetFormatPr defaultColWidth="9.125" defaultRowHeight="13.5" customHeight="1"/>
  <cols>
    <col min="1" max="1" width="56.75" style="64" customWidth="1"/>
    <col min="2" max="2" width="4.875" style="64" bestFit="1" customWidth="1"/>
    <col min="3" max="3" width="13.625" style="64" bestFit="1" customWidth="1"/>
    <col min="4" max="4" width="7.625" style="64" bestFit="1" customWidth="1"/>
    <col min="5" max="5" width="15.25" style="72" bestFit="1" customWidth="1"/>
    <col min="6" max="6" width="4.625" style="64" bestFit="1" customWidth="1"/>
    <col min="7" max="7" width="19.25" style="64" bestFit="1" customWidth="1"/>
    <col min="8" max="10" width="9.125" style="64"/>
    <col min="11" max="11" width="12.125" style="64" bestFit="1" customWidth="1"/>
    <col min="12" max="12" width="14" style="64" bestFit="1" customWidth="1"/>
    <col min="13" max="16384" width="9.125" style="64"/>
  </cols>
  <sheetData>
    <row r="1" spans="1:12" ht="66" customHeight="1" thickBot="1">
      <c r="A1" s="1425" t="s">
        <v>121</v>
      </c>
      <c r="B1" s="1426"/>
      <c r="C1" s="1426"/>
      <c r="D1" s="1426"/>
      <c r="E1" s="1426"/>
      <c r="F1" s="1426"/>
      <c r="G1" s="1427"/>
    </row>
    <row r="2" spans="1:12" ht="5.25" customHeight="1">
      <c r="A2" s="31"/>
      <c r="B2" s="942"/>
      <c r="C2" s="943"/>
      <c r="D2" s="942"/>
      <c r="E2" s="32"/>
      <c r="F2" s="942"/>
      <c r="G2" s="33"/>
      <c r="H2" s="22"/>
      <c r="I2" s="34"/>
    </row>
    <row r="3" spans="1:12" ht="15.75">
      <c r="A3" s="1428" t="s">
        <v>290</v>
      </c>
      <c r="B3" s="1429"/>
      <c r="C3" s="1429"/>
      <c r="D3" s="1429"/>
      <c r="E3" s="1429"/>
      <c r="F3" s="1429"/>
      <c r="G3" s="1430"/>
    </row>
    <row r="4" spans="1:12" ht="12.75" customHeight="1">
      <c r="A4" s="35" t="s">
        <v>21</v>
      </c>
      <c r="B4" s="944"/>
      <c r="C4" s="945">
        <v>1</v>
      </c>
      <c r="D4" s="944" t="s">
        <v>22</v>
      </c>
      <c r="E4" s="117">
        <v>2608.6</v>
      </c>
      <c r="F4" s="944" t="s">
        <v>23</v>
      </c>
      <c r="G4" s="36">
        <f t="shared" ref="G4:G9" si="0">ROUND(C4*E4,2)</f>
        <v>2608.6</v>
      </c>
      <c r="H4" s="22"/>
    </row>
    <row r="5" spans="1:12" ht="12.75" customHeight="1">
      <c r="A5" s="35" t="s">
        <v>255</v>
      </c>
      <c r="B5" s="944"/>
      <c r="C5" s="946">
        <v>0</v>
      </c>
      <c r="D5" s="944" t="s">
        <v>22</v>
      </c>
      <c r="E5" s="37">
        <f>1621</f>
        <v>1621</v>
      </c>
      <c r="F5" s="944" t="s">
        <v>23</v>
      </c>
      <c r="G5" s="36">
        <f t="shared" si="0"/>
        <v>0</v>
      </c>
      <c r="H5" s="23"/>
    </row>
    <row r="6" spans="1:12" ht="12.75" customHeight="1">
      <c r="A6" s="35" t="s">
        <v>25</v>
      </c>
      <c r="B6" s="944"/>
      <c r="C6" s="947">
        <v>0</v>
      </c>
      <c r="D6" s="944" t="s">
        <v>22</v>
      </c>
      <c r="E6" s="37">
        <f>ROUND((SUM(G4:G5)/220)*1.5,2)</f>
        <v>17.79</v>
      </c>
      <c r="F6" s="944" t="s">
        <v>23</v>
      </c>
      <c r="G6" s="36">
        <f t="shared" si="0"/>
        <v>0</v>
      </c>
      <c r="H6" s="34"/>
    </row>
    <row r="7" spans="1:12" ht="12.75" customHeight="1">
      <c r="A7" s="35" t="s">
        <v>26</v>
      </c>
      <c r="B7" s="944"/>
      <c r="C7" s="947">
        <v>0</v>
      </c>
      <c r="D7" s="944" t="s">
        <v>22</v>
      </c>
      <c r="E7" s="37">
        <f>ROUND((SUM(G4:G5)/220)*2,2)</f>
        <v>23.71</v>
      </c>
      <c r="F7" s="944" t="s">
        <v>23</v>
      </c>
      <c r="G7" s="36">
        <f t="shared" si="0"/>
        <v>0</v>
      </c>
      <c r="H7" s="23"/>
    </row>
    <row r="8" spans="1:12" ht="12.75" customHeight="1">
      <c r="A8" s="35" t="s">
        <v>27</v>
      </c>
      <c r="B8" s="944"/>
      <c r="C8" s="947">
        <v>0</v>
      </c>
      <c r="D8" s="944" t="s">
        <v>22</v>
      </c>
      <c r="E8" s="37">
        <f>(SUM(G4:G5)/220)*0.2</f>
        <v>2.3714545454545455</v>
      </c>
      <c r="F8" s="944" t="s">
        <v>23</v>
      </c>
      <c r="G8" s="36">
        <f t="shared" si="0"/>
        <v>0</v>
      </c>
      <c r="H8" s="23"/>
      <c r="L8" s="66"/>
    </row>
    <row r="9" spans="1:12" ht="12.75" customHeight="1">
      <c r="A9" s="35" t="s">
        <v>28</v>
      </c>
      <c r="B9" s="944"/>
      <c r="C9" s="948">
        <f>encargos</f>
        <v>0.73929999999999996</v>
      </c>
      <c r="D9" s="944" t="s">
        <v>22</v>
      </c>
      <c r="E9" s="37">
        <f>SUM(G4:G8)</f>
        <v>2608.6</v>
      </c>
      <c r="F9" s="944" t="s">
        <v>23</v>
      </c>
      <c r="G9" s="36">
        <f t="shared" si="0"/>
        <v>1928.54</v>
      </c>
      <c r="H9" s="23"/>
    </row>
    <row r="10" spans="1:12" ht="12.75" customHeight="1">
      <c r="A10" s="31" t="s">
        <v>29</v>
      </c>
      <c r="B10" s="944"/>
      <c r="C10" s="948"/>
      <c r="D10" s="944"/>
      <c r="E10" s="37"/>
      <c r="F10" s="944"/>
      <c r="G10" s="38">
        <f>SUM(G4:G9)</f>
        <v>4537.1399999999994</v>
      </c>
      <c r="H10" s="23"/>
    </row>
    <row r="11" spans="1:12" ht="12.75" customHeight="1">
      <c r="A11" s="35" t="s">
        <v>30</v>
      </c>
      <c r="B11" s="944"/>
      <c r="C11" s="949">
        <v>1</v>
      </c>
      <c r="D11" s="944" t="s">
        <v>22</v>
      </c>
      <c r="E11" s="117">
        <v>416.87</v>
      </c>
      <c r="F11" s="944" t="s">
        <v>23</v>
      </c>
      <c r="G11" s="36">
        <f t="shared" ref="G11:G18" si="1">ROUND(C11*E11,2)</f>
        <v>416.87</v>
      </c>
      <c r="H11" s="23"/>
    </row>
    <row r="12" spans="1:12" ht="12.75" customHeight="1">
      <c r="A12" s="39" t="s">
        <v>31</v>
      </c>
      <c r="B12" s="950"/>
      <c r="C12" s="945">
        <v>1</v>
      </c>
      <c r="D12" s="944" t="s">
        <v>22</v>
      </c>
      <c r="E12" s="117">
        <v>200</v>
      </c>
      <c r="F12" s="944" t="s">
        <v>23</v>
      </c>
      <c r="G12" s="36">
        <f>E12*C12</f>
        <v>200</v>
      </c>
      <c r="H12" s="40"/>
    </row>
    <row r="13" spans="1:12" ht="12.75" customHeight="1">
      <c r="A13" s="35" t="s">
        <v>107</v>
      </c>
      <c r="B13" s="944"/>
      <c r="C13" s="951">
        <f>1/12</f>
        <v>8.3333333333333329E-2</v>
      </c>
      <c r="D13" s="944" t="s">
        <v>22</v>
      </c>
      <c r="E13" s="117">
        <v>200</v>
      </c>
      <c r="F13" s="944" t="s">
        <v>23</v>
      </c>
      <c r="G13" s="36">
        <f>ROUND(C13*E13,2)</f>
        <v>16.670000000000002</v>
      </c>
      <c r="H13" s="23"/>
    </row>
    <row r="14" spans="1:12" ht="12.75" customHeight="1">
      <c r="A14" s="39" t="s">
        <v>33</v>
      </c>
      <c r="B14" s="950"/>
      <c r="C14" s="951">
        <f>1/12</f>
        <v>8.3333333333333329E-2</v>
      </c>
      <c r="D14" s="944" t="s">
        <v>22</v>
      </c>
      <c r="E14" s="117">
        <v>200</v>
      </c>
      <c r="F14" s="944" t="s">
        <v>23</v>
      </c>
      <c r="G14" s="36">
        <f>ROUND(C14*E14,2)</f>
        <v>16.670000000000002</v>
      </c>
      <c r="H14" s="40"/>
    </row>
    <row r="15" spans="1:12" ht="12.75" customHeight="1">
      <c r="A15" s="35" t="s">
        <v>34</v>
      </c>
      <c r="B15" s="944"/>
      <c r="C15" s="952">
        <v>1</v>
      </c>
      <c r="D15" s="944" t="s">
        <v>22</v>
      </c>
      <c r="E15" s="117">
        <v>0</v>
      </c>
      <c r="F15" s="944" t="s">
        <v>23</v>
      </c>
      <c r="G15" s="36">
        <f t="shared" si="1"/>
        <v>0</v>
      </c>
      <c r="H15" s="40"/>
    </row>
    <row r="16" spans="1:12" ht="12.75" customHeight="1">
      <c r="A16" s="35" t="s">
        <v>35</v>
      </c>
      <c r="B16" s="944"/>
      <c r="C16" s="952">
        <v>1</v>
      </c>
      <c r="D16" s="944" t="s">
        <v>22</v>
      </c>
      <c r="E16" s="117">
        <v>100</v>
      </c>
      <c r="F16" s="944" t="s">
        <v>23</v>
      </c>
      <c r="G16" s="36">
        <f t="shared" si="1"/>
        <v>100</v>
      </c>
      <c r="H16" s="23"/>
    </row>
    <row r="17" spans="1:8" ht="12.75" customHeight="1">
      <c r="A17" s="35" t="s">
        <v>36</v>
      </c>
      <c r="B17" s="944"/>
      <c r="C17" s="952">
        <v>1</v>
      </c>
      <c r="D17" s="944" t="s">
        <v>22</v>
      </c>
      <c r="E17" s="117">
        <v>25</v>
      </c>
      <c r="F17" s="944" t="s">
        <v>23</v>
      </c>
      <c r="G17" s="36">
        <f t="shared" si="1"/>
        <v>25</v>
      </c>
      <c r="H17" s="23"/>
    </row>
    <row r="18" spans="1:8" ht="12.75" customHeight="1">
      <c r="A18" s="35" t="s">
        <v>37</v>
      </c>
      <c r="B18" s="944"/>
      <c r="C18" s="952">
        <v>1</v>
      </c>
      <c r="D18" s="944" t="s">
        <v>22</v>
      </c>
      <c r="E18" s="117">
        <v>3.8</v>
      </c>
      <c r="F18" s="944" t="s">
        <v>23</v>
      </c>
      <c r="G18" s="36">
        <f t="shared" si="1"/>
        <v>3.8</v>
      </c>
      <c r="H18" s="23"/>
    </row>
    <row r="19" spans="1:8" ht="12.75" customHeight="1">
      <c r="A19" s="39" t="s">
        <v>38</v>
      </c>
      <c r="B19" s="950"/>
      <c r="C19" s="953">
        <f>2*dias_mes</f>
        <v>50.5</v>
      </c>
      <c r="D19" s="944" t="s">
        <v>22</v>
      </c>
      <c r="E19" s="117">
        <v>3</v>
      </c>
      <c r="F19" s="944" t="s">
        <v>23</v>
      </c>
      <c r="G19" s="36">
        <f>IF(E4*0.06&lt;C19*E19,ROUND(C19*E19,2)-0.06*E4,0)</f>
        <v>0</v>
      </c>
      <c r="H19" s="34"/>
    </row>
    <row r="20" spans="1:8" ht="12.75" customHeight="1">
      <c r="A20" s="41" t="s">
        <v>39</v>
      </c>
      <c r="B20" s="24"/>
      <c r="C20" s="954">
        <v>0</v>
      </c>
      <c r="D20" s="24" t="s">
        <v>22</v>
      </c>
      <c r="E20" s="42">
        <v>0</v>
      </c>
      <c r="F20" s="24" t="s">
        <v>23</v>
      </c>
      <c r="G20" s="43">
        <f>ROUND(C20*E20,2)</f>
        <v>0</v>
      </c>
      <c r="H20" s="23"/>
    </row>
    <row r="21" spans="1:8" ht="13.5" customHeight="1">
      <c r="A21" s="44" t="s">
        <v>40</v>
      </c>
      <c r="B21" s="25"/>
      <c r="C21" s="26"/>
      <c r="D21" s="25"/>
      <c r="E21" s="45"/>
      <c r="F21" s="25"/>
      <c r="G21" s="46">
        <f>SUM(G10:G20)</f>
        <v>5316.15</v>
      </c>
      <c r="H21" s="22"/>
    </row>
    <row r="22" spans="1:8" ht="14.25">
      <c r="A22" s="67"/>
      <c r="B22" s="98"/>
      <c r="C22" s="98"/>
      <c r="D22" s="98"/>
      <c r="E22" s="68"/>
      <c r="F22" s="98"/>
      <c r="G22" s="69"/>
    </row>
    <row r="23" spans="1:8" ht="17.25" customHeight="1">
      <c r="A23" s="1422" t="s">
        <v>420</v>
      </c>
      <c r="B23" s="1423"/>
      <c r="C23" s="1423"/>
      <c r="D23" s="1423"/>
      <c r="E23" s="1423"/>
      <c r="F23" s="1423"/>
      <c r="G23" s="1424"/>
    </row>
    <row r="24" spans="1:8" ht="12.6" customHeight="1">
      <c r="A24" s="47" t="s">
        <v>21</v>
      </c>
      <c r="B24" s="27"/>
      <c r="C24" s="28">
        <v>1</v>
      </c>
      <c r="D24" s="27" t="s">
        <v>22</v>
      </c>
      <c r="E24" s="118">
        <f>3162.92</f>
        <v>3162.92</v>
      </c>
      <c r="F24" s="27" t="s">
        <v>23</v>
      </c>
      <c r="G24" s="48">
        <f t="shared" ref="G24:G29" si="2">ROUND(C24*E24,2)</f>
        <v>3162.92</v>
      </c>
    </row>
    <row r="25" spans="1:8" ht="12.6" customHeight="1">
      <c r="A25" s="35" t="s">
        <v>24</v>
      </c>
      <c r="B25" s="944"/>
      <c r="C25" s="955">
        <v>0.4</v>
      </c>
      <c r="D25" s="944" t="s">
        <v>22</v>
      </c>
      <c r="E25" s="37">
        <v>1621</v>
      </c>
      <c r="F25" s="944" t="s">
        <v>23</v>
      </c>
      <c r="G25" s="36">
        <f>ROUND(C25*E25,2)</f>
        <v>648.4</v>
      </c>
    </row>
    <row r="26" spans="1:8" ht="12.6" customHeight="1">
      <c r="A26" s="35" t="s">
        <v>25</v>
      </c>
      <c r="B26" s="944"/>
      <c r="C26" s="947">
        <v>0</v>
      </c>
      <c r="D26" s="944" t="s">
        <v>22</v>
      </c>
      <c r="E26" s="37">
        <f>ROUND((SUM(G24:G25)/220)*1.5,2)</f>
        <v>25.99</v>
      </c>
      <c r="F26" s="944" t="s">
        <v>23</v>
      </c>
      <c r="G26" s="36">
        <f t="shared" si="2"/>
        <v>0</v>
      </c>
    </row>
    <row r="27" spans="1:8" ht="12.6" customHeight="1">
      <c r="A27" s="35" t="s">
        <v>26</v>
      </c>
      <c r="B27" s="944"/>
      <c r="C27" s="947">
        <v>0</v>
      </c>
      <c r="D27" s="944" t="s">
        <v>22</v>
      </c>
      <c r="E27" s="37">
        <f>ROUND((SUM(G24:G25)/220)*2,2)</f>
        <v>34.65</v>
      </c>
      <c r="F27" s="944" t="s">
        <v>23</v>
      </c>
      <c r="G27" s="36">
        <f t="shared" si="2"/>
        <v>0</v>
      </c>
    </row>
    <row r="28" spans="1:8" ht="12.6" customHeight="1">
      <c r="A28" s="35" t="s">
        <v>27</v>
      </c>
      <c r="B28" s="944"/>
      <c r="C28" s="947">
        <v>0</v>
      </c>
      <c r="D28" s="944" t="s">
        <v>22</v>
      </c>
      <c r="E28" s="37">
        <f>(SUM(G24:G25)/220)*0.2</f>
        <v>3.4648363636363642</v>
      </c>
      <c r="F28" s="944" t="s">
        <v>23</v>
      </c>
      <c r="G28" s="36">
        <f t="shared" si="2"/>
        <v>0</v>
      </c>
    </row>
    <row r="29" spans="1:8" ht="12.6" customHeight="1">
      <c r="A29" s="35" t="s">
        <v>28</v>
      </c>
      <c r="B29" s="944"/>
      <c r="C29" s="948">
        <f>encargos</f>
        <v>0.73929999999999996</v>
      </c>
      <c r="D29" s="944" t="s">
        <v>22</v>
      </c>
      <c r="E29" s="37">
        <f>SUM(G24:G28)</f>
        <v>3811.32</v>
      </c>
      <c r="F29" s="944" t="s">
        <v>23</v>
      </c>
      <c r="G29" s="36">
        <f t="shared" si="2"/>
        <v>2817.71</v>
      </c>
    </row>
    <row r="30" spans="1:8" ht="12.6" customHeight="1">
      <c r="A30" s="31" t="s">
        <v>29</v>
      </c>
      <c r="B30" s="944"/>
      <c r="C30" s="948"/>
      <c r="D30" s="944"/>
      <c r="E30" s="37"/>
      <c r="F30" s="944"/>
      <c r="G30" s="38">
        <f>SUM(G24:G29)</f>
        <v>6629.0300000000007</v>
      </c>
    </row>
    <row r="31" spans="1:8" ht="12.6" customHeight="1">
      <c r="A31" s="35" t="s">
        <v>30</v>
      </c>
      <c r="B31" s="944"/>
      <c r="C31" s="949">
        <v>1</v>
      </c>
      <c r="D31" s="944" t="s">
        <v>22</v>
      </c>
      <c r="E31" s="117">
        <v>416.87</v>
      </c>
      <c r="F31" s="944" t="s">
        <v>23</v>
      </c>
      <c r="G31" s="36">
        <f t="shared" ref="G31:G38" si="3">ROUND(C31*E31,2)</f>
        <v>416.87</v>
      </c>
    </row>
    <row r="32" spans="1:8" ht="12.6" customHeight="1">
      <c r="A32" s="39" t="s">
        <v>31</v>
      </c>
      <c r="B32" s="950"/>
      <c r="C32" s="945">
        <v>1</v>
      </c>
      <c r="D32" s="944" t="s">
        <v>22</v>
      </c>
      <c r="E32" s="117">
        <v>200</v>
      </c>
      <c r="F32" s="944" t="s">
        <v>23</v>
      </c>
      <c r="G32" s="36">
        <f t="shared" si="3"/>
        <v>200</v>
      </c>
    </row>
    <row r="33" spans="1:8" ht="12.6" customHeight="1">
      <c r="A33" s="35" t="s">
        <v>32</v>
      </c>
      <c r="B33" s="944"/>
      <c r="C33" s="951">
        <f>1/12</f>
        <v>8.3333333333333329E-2</v>
      </c>
      <c r="D33" s="944" t="s">
        <v>22</v>
      </c>
      <c r="E33" s="117">
        <v>0</v>
      </c>
      <c r="F33" s="944" t="s">
        <v>23</v>
      </c>
      <c r="G33" s="36">
        <f t="shared" si="3"/>
        <v>0</v>
      </c>
    </row>
    <row r="34" spans="1:8" ht="12.6" customHeight="1">
      <c r="A34" s="39" t="s">
        <v>33</v>
      </c>
      <c r="B34" s="950"/>
      <c r="C34" s="951">
        <f>1/12</f>
        <v>8.3333333333333329E-2</v>
      </c>
      <c r="D34" s="944" t="s">
        <v>22</v>
      </c>
      <c r="E34" s="117">
        <v>0</v>
      </c>
      <c r="F34" s="944" t="s">
        <v>23</v>
      </c>
      <c r="G34" s="36">
        <f t="shared" si="3"/>
        <v>0</v>
      </c>
    </row>
    <row r="35" spans="1:8" ht="12.6" customHeight="1">
      <c r="A35" s="35" t="s">
        <v>34</v>
      </c>
      <c r="B35" s="944"/>
      <c r="C35" s="952">
        <v>0</v>
      </c>
      <c r="D35" s="944" t="s">
        <v>22</v>
      </c>
      <c r="E35" s="117">
        <v>0</v>
      </c>
      <c r="F35" s="944" t="s">
        <v>23</v>
      </c>
      <c r="G35" s="36">
        <f t="shared" si="3"/>
        <v>0</v>
      </c>
    </row>
    <row r="36" spans="1:8" ht="12.6" customHeight="1">
      <c r="A36" s="35" t="s">
        <v>35</v>
      </c>
      <c r="B36" s="944"/>
      <c r="C36" s="952">
        <v>1</v>
      </c>
      <c r="D36" s="944" t="s">
        <v>22</v>
      </c>
      <c r="E36" s="117">
        <v>100</v>
      </c>
      <c r="F36" s="944" t="s">
        <v>23</v>
      </c>
      <c r="G36" s="36">
        <f t="shared" si="3"/>
        <v>100</v>
      </c>
    </row>
    <row r="37" spans="1:8" ht="12.6" customHeight="1">
      <c r="A37" s="35" t="s">
        <v>37</v>
      </c>
      <c r="B37" s="944"/>
      <c r="C37" s="952">
        <v>1</v>
      </c>
      <c r="D37" s="944" t="s">
        <v>22</v>
      </c>
      <c r="E37" s="117">
        <v>5</v>
      </c>
      <c r="F37" s="944" t="s">
        <v>23</v>
      </c>
      <c r="G37" s="36">
        <f t="shared" si="3"/>
        <v>5</v>
      </c>
      <c r="H37" s="23"/>
    </row>
    <row r="38" spans="1:8" ht="12.6" customHeight="1">
      <c r="A38" s="39" t="s">
        <v>36</v>
      </c>
      <c r="B38" s="950"/>
      <c r="C38" s="952">
        <v>1</v>
      </c>
      <c r="D38" s="944" t="s">
        <v>22</v>
      </c>
      <c r="E38" s="117">
        <v>30</v>
      </c>
      <c r="F38" s="944"/>
      <c r="G38" s="36">
        <f t="shared" si="3"/>
        <v>30</v>
      </c>
    </row>
    <row r="39" spans="1:8" ht="12.6" customHeight="1">
      <c r="A39" s="35" t="s">
        <v>38</v>
      </c>
      <c r="B39" s="944"/>
      <c r="C39" s="953">
        <f>2*dias_mes</f>
        <v>50.5</v>
      </c>
      <c r="D39" s="944" t="s">
        <v>22</v>
      </c>
      <c r="E39" s="117">
        <v>3</v>
      </c>
      <c r="F39" s="944" t="s">
        <v>23</v>
      </c>
      <c r="G39" s="36">
        <f>IF(E24*0.06&lt;C39*E39,ROUND(C39*E39,2)-0.06*E24,0)</f>
        <v>0</v>
      </c>
    </row>
    <row r="40" spans="1:8" ht="12.6" customHeight="1">
      <c r="A40" s="41" t="s">
        <v>39</v>
      </c>
      <c r="B40" s="24"/>
      <c r="C40" s="115">
        <f>C24</f>
        <v>1</v>
      </c>
      <c r="D40" s="24" t="s">
        <v>22</v>
      </c>
      <c r="E40" s="42">
        <f>EPI!$G$13</f>
        <v>90.83</v>
      </c>
      <c r="F40" s="24" t="s">
        <v>23</v>
      </c>
      <c r="G40" s="43">
        <f>ROUND(C40*E40,2)</f>
        <v>90.83</v>
      </c>
    </row>
    <row r="41" spans="1:8" ht="12.6" customHeight="1">
      <c r="A41" s="49" t="s">
        <v>40</v>
      </c>
      <c r="B41" s="29"/>
      <c r="C41" s="30"/>
      <c r="D41" s="29"/>
      <c r="E41" s="50"/>
      <c r="F41" s="29"/>
      <c r="G41" s="51">
        <f>SUM(G30:G40)</f>
        <v>7471.7300000000005</v>
      </c>
    </row>
    <row r="42" spans="1:8" ht="9.75" customHeight="1">
      <c r="A42" s="105"/>
      <c r="B42" s="956"/>
      <c r="C42" s="957"/>
      <c r="D42" s="956"/>
      <c r="E42" s="106"/>
      <c r="F42" s="956"/>
      <c r="G42" s="107"/>
    </row>
    <row r="43" spans="1:8" ht="17.25" customHeight="1">
      <c r="A43" s="1422" t="s">
        <v>274</v>
      </c>
      <c r="B43" s="1423"/>
      <c r="C43" s="1423"/>
      <c r="D43" s="1423"/>
      <c r="E43" s="1423"/>
      <c r="F43" s="1423"/>
      <c r="G43" s="1424"/>
    </row>
    <row r="44" spans="1:8" ht="17.25" customHeight="1">
      <c r="A44" s="1434" t="s">
        <v>276</v>
      </c>
      <c r="B44" s="1435"/>
      <c r="C44" s="1435"/>
      <c r="D44" s="1435"/>
      <c r="E44" s="1435"/>
      <c r="F44" s="1435"/>
      <c r="G44" s="1436"/>
    </row>
    <row r="45" spans="1:8" ht="17.25" customHeight="1">
      <c r="A45" s="1437"/>
      <c r="B45" s="1438"/>
      <c r="C45" s="1438"/>
      <c r="D45" s="1438"/>
      <c r="E45" s="1438"/>
      <c r="F45" s="1438"/>
      <c r="G45" s="1439"/>
    </row>
    <row r="46" spans="1:8" ht="30">
      <c r="A46" s="958" t="s">
        <v>262</v>
      </c>
      <c r="B46" s="638" t="s">
        <v>109</v>
      </c>
      <c r="C46" s="111" t="s">
        <v>272</v>
      </c>
      <c r="D46" s="111" t="s">
        <v>271</v>
      </c>
      <c r="E46" s="111" t="s">
        <v>275</v>
      </c>
      <c r="F46" s="111" t="s">
        <v>277</v>
      </c>
      <c r="G46" s="959" t="s">
        <v>249</v>
      </c>
    </row>
    <row r="47" spans="1:8" ht="28.5">
      <c r="A47" s="960" t="s">
        <v>263</v>
      </c>
      <c r="B47" s="108" t="s">
        <v>109</v>
      </c>
      <c r="C47" s="108" t="s">
        <v>270</v>
      </c>
      <c r="D47" s="108">
        <v>95403</v>
      </c>
      <c r="E47" s="497">
        <v>2.06</v>
      </c>
      <c r="F47" s="111">
        <v>1</v>
      </c>
      <c r="G47" s="959">
        <f>E47*F47</f>
        <v>2.06</v>
      </c>
    </row>
    <row r="48" spans="1:8" ht="28.5">
      <c r="A48" s="960" t="s">
        <v>264</v>
      </c>
      <c r="B48" s="108" t="s">
        <v>109</v>
      </c>
      <c r="C48" s="108" t="s">
        <v>19</v>
      </c>
      <c r="D48" s="108">
        <v>43486</v>
      </c>
      <c r="E48" s="497">
        <v>0.89</v>
      </c>
      <c r="F48" s="111">
        <v>1</v>
      </c>
      <c r="G48" s="959">
        <f t="shared" ref="G48:G53" si="4">E48*F48</f>
        <v>0.89</v>
      </c>
    </row>
    <row r="49" spans="1:7" ht="28.5">
      <c r="A49" s="960" t="s">
        <v>265</v>
      </c>
      <c r="B49" s="108" t="s">
        <v>109</v>
      </c>
      <c r="C49" s="108" t="s">
        <v>19</v>
      </c>
      <c r="D49" s="108">
        <v>43462</v>
      </c>
      <c r="E49" s="497">
        <v>0.03</v>
      </c>
      <c r="F49" s="112">
        <v>1</v>
      </c>
      <c r="G49" s="959">
        <f t="shared" si="4"/>
        <v>0.03</v>
      </c>
    </row>
    <row r="50" spans="1:7" ht="28.5">
      <c r="A50" s="960" t="s">
        <v>266</v>
      </c>
      <c r="B50" s="108" t="s">
        <v>109</v>
      </c>
      <c r="C50" s="108" t="s">
        <v>19</v>
      </c>
      <c r="D50" s="108">
        <v>37373</v>
      </c>
      <c r="E50" s="497">
        <v>0.11</v>
      </c>
      <c r="F50" s="111">
        <v>1</v>
      </c>
      <c r="G50" s="959">
        <f t="shared" si="4"/>
        <v>0.11</v>
      </c>
    </row>
    <row r="51" spans="1:7" ht="28.5">
      <c r="A51" s="960" t="s">
        <v>267</v>
      </c>
      <c r="B51" s="108" t="s">
        <v>109</v>
      </c>
      <c r="C51" s="108" t="s">
        <v>19</v>
      </c>
      <c r="D51" s="108">
        <v>37372</v>
      </c>
      <c r="E51" s="497">
        <v>1.57</v>
      </c>
      <c r="F51" s="111">
        <v>1</v>
      </c>
      <c r="G51" s="959">
        <f t="shared" si="4"/>
        <v>1.57</v>
      </c>
    </row>
    <row r="52" spans="1:7" ht="28.5">
      <c r="A52" s="960" t="s">
        <v>268</v>
      </c>
      <c r="B52" s="108" t="s">
        <v>109</v>
      </c>
      <c r="C52" s="108" t="s">
        <v>19</v>
      </c>
      <c r="D52" s="108">
        <v>37370</v>
      </c>
      <c r="E52" s="497">
        <v>2.41</v>
      </c>
      <c r="F52" s="111">
        <v>1</v>
      </c>
      <c r="G52" s="959">
        <f t="shared" si="4"/>
        <v>2.41</v>
      </c>
    </row>
    <row r="53" spans="1:7" ht="15">
      <c r="A53" s="961" t="s">
        <v>269</v>
      </c>
      <c r="B53" s="113" t="s">
        <v>109</v>
      </c>
      <c r="C53" s="113" t="s">
        <v>19</v>
      </c>
      <c r="D53" s="113">
        <v>2707</v>
      </c>
      <c r="E53" s="497">
        <v>140.07</v>
      </c>
      <c r="F53" s="114">
        <v>1</v>
      </c>
      <c r="G53" s="962">
        <f t="shared" si="4"/>
        <v>140.07</v>
      </c>
    </row>
    <row r="54" spans="1:7" ht="12.6" customHeight="1">
      <c r="A54" s="1440" t="s">
        <v>278</v>
      </c>
      <c r="B54" s="1441"/>
      <c r="C54" s="1441"/>
      <c r="D54" s="1441"/>
      <c r="E54" s="1441"/>
      <c r="F54" s="1442"/>
      <c r="G54" s="963">
        <f>SUM(G47:G53)</f>
        <v>147.13999999999999</v>
      </c>
    </row>
    <row r="55" spans="1:7" ht="12.6" customHeight="1">
      <c r="A55" s="964"/>
      <c r="B55" s="109"/>
      <c r="C55" s="109"/>
      <c r="D55" s="109"/>
      <c r="E55" s="109"/>
      <c r="F55" s="109"/>
      <c r="G55" s="965"/>
    </row>
    <row r="56" spans="1:7" ht="12.6" customHeight="1">
      <c r="A56" s="1443" t="s">
        <v>291</v>
      </c>
      <c r="B56" s="1444"/>
      <c r="C56" s="1444"/>
      <c r="D56" s="1444"/>
      <c r="E56" s="1444"/>
      <c r="F56" s="1445"/>
      <c r="G56" s="966">
        <v>2</v>
      </c>
    </row>
    <row r="57" spans="1:7" ht="12.6" customHeight="1">
      <c r="A57" s="1446" t="s">
        <v>273</v>
      </c>
      <c r="B57" s="1447"/>
      <c r="C57" s="1447"/>
      <c r="D57" s="1447"/>
      <c r="E57" s="1447"/>
      <c r="F57" s="1448"/>
      <c r="G57" s="966">
        <f>26</f>
        <v>26</v>
      </c>
    </row>
    <row r="58" spans="1:7" ht="12.6" customHeight="1">
      <c r="A58" s="964"/>
      <c r="B58" s="110"/>
      <c r="C58" s="110"/>
      <c r="D58" s="110"/>
      <c r="E58" s="110"/>
      <c r="F58" s="110"/>
      <c r="G58" s="965"/>
    </row>
    <row r="59" spans="1:7" ht="12.6" customHeight="1">
      <c r="A59" s="1449" t="s">
        <v>40</v>
      </c>
      <c r="B59" s="1450"/>
      <c r="C59" s="1450"/>
      <c r="D59" s="1450"/>
      <c r="E59" s="1450"/>
      <c r="F59" s="1451"/>
      <c r="G59" s="967">
        <f>G54*G56*G57</f>
        <v>7651.2799999999988</v>
      </c>
    </row>
    <row r="60" spans="1:7" ht="9.75" customHeight="1">
      <c r="A60" s="31"/>
      <c r="B60" s="942"/>
      <c r="C60" s="943"/>
      <c r="D60" s="942"/>
      <c r="E60" s="32"/>
      <c r="F60" s="942"/>
      <c r="G60" s="33"/>
    </row>
    <row r="61" spans="1:7" ht="20.25">
      <c r="A61" s="1431" t="s">
        <v>122</v>
      </c>
      <c r="B61" s="1432"/>
      <c r="C61" s="1432"/>
      <c r="D61" s="1432"/>
      <c r="E61" s="1432"/>
      <c r="F61" s="1432"/>
      <c r="G61" s="1433"/>
    </row>
    <row r="62" spans="1:7" ht="14.25">
      <c r="A62" s="70" t="s">
        <v>42</v>
      </c>
      <c r="B62" s="94"/>
      <c r="C62" s="94"/>
      <c r="D62" s="94" t="s">
        <v>43</v>
      </c>
      <c r="E62" s="121" t="s">
        <v>44</v>
      </c>
      <c r="F62" s="94"/>
      <c r="G62" s="119" t="s">
        <v>45</v>
      </c>
    </row>
    <row r="63" spans="1:7" ht="13.5" customHeight="1">
      <c r="A63" s="74" t="s">
        <v>123</v>
      </c>
      <c r="B63" s="968"/>
      <c r="C63" s="968"/>
      <c r="D63" s="968">
        <v>1</v>
      </c>
      <c r="E63" s="95">
        <f>G21</f>
        <v>5316.15</v>
      </c>
      <c r="F63" s="101"/>
      <c r="G63" s="71">
        <f>E63*D63</f>
        <v>5316.15</v>
      </c>
    </row>
    <row r="64" spans="1:7" ht="13.5" customHeight="1">
      <c r="A64" s="74" t="s">
        <v>483</v>
      </c>
      <c r="B64" s="99"/>
      <c r="C64" s="99"/>
      <c r="D64" s="99">
        <v>1</v>
      </c>
      <c r="E64" s="95">
        <f>G41</f>
        <v>7471.7300000000005</v>
      </c>
      <c r="F64" s="101"/>
      <c r="G64" s="71">
        <f>E64*D64</f>
        <v>7471.7300000000005</v>
      </c>
    </row>
    <row r="65" spans="1:7" ht="13.5" customHeight="1">
      <c r="A65" s="74" t="s">
        <v>124</v>
      </c>
      <c r="B65" s="99"/>
      <c r="C65" s="99"/>
      <c r="D65" s="99">
        <v>1</v>
      </c>
      <c r="E65" s="95">
        <f>G59</f>
        <v>7651.2799999999988</v>
      </c>
      <c r="F65" s="101"/>
      <c r="G65" s="71">
        <f>D65*E65</f>
        <v>7651.2799999999988</v>
      </c>
    </row>
    <row r="66" spans="1:7" ht="21" thickBot="1">
      <c r="A66" s="1420" t="s">
        <v>50</v>
      </c>
      <c r="B66" s="1421"/>
      <c r="C66" s="1421"/>
      <c r="D66" s="1421"/>
      <c r="E66" s="52"/>
      <c r="F66" s="53"/>
      <c r="G66" s="120">
        <f>SUM(G63:G65)</f>
        <v>20439.16</v>
      </c>
    </row>
    <row r="67" spans="1:7" ht="13.5" customHeight="1">
      <c r="G67" s="65"/>
    </row>
    <row r="74" spans="1:7" ht="14.25"/>
    <row r="79" spans="1:7" ht="14.25"/>
    <row r="85" ht="14.25"/>
  </sheetData>
  <protectedRanges>
    <protectedRange sqref="C2:G2" name="Intervalo8"/>
    <protectedRange sqref="C42:G42 C60:G60" name="Intervalo11_5"/>
    <protectedRange sqref="E31:E32 E11:E14 E54" name="Intervalo8_2_1"/>
    <protectedRange sqref="E55:E56 C39 C19:C20 C11:D18 C31 C33:C34 E17:E19 E15 E33:E35 C53 C55:C56" name="Intervalo8_3_1"/>
    <protectedRange sqref="D9:G9 C10:G10 C21:G21 C4:G4 D19:D20 C5:D8 F11:G20 C48 F5:G8 C30 C52 C26" name="Intervalo11_2_1"/>
    <protectedRange sqref="E5 E25 E47" name="Intervalo9_1_1"/>
    <protectedRange sqref="C9 C51 C29" name="Intervalo8_1_1_1"/>
    <protectedRange sqref="C36:E38 C40 E16 C57:E57 D31:D34 C32 C54 C35:D35 D54:D56 C58 D53:E53" name="Intervalo8_6_1"/>
    <protectedRange sqref="D40:G40 D39 E6:E8 E26:G30 F53 D26 C27:D28 C41:G41 F25:G25 F31:G39 D29:D30 C25:D25 C24:G24 E20 D58:G58 F54:G57 E48:F52 D48 C49:D50 C59:G59 F47:G47 G48:G53 D51:D52 C47:D47 C46:G46" name="Intervalo11_5_1"/>
    <protectedRange sqref="E39" name="Intervalo8_1_4_1"/>
  </protectedRanges>
  <mergeCells count="11">
    <mergeCell ref="A66:D66"/>
    <mergeCell ref="A43:G43"/>
    <mergeCell ref="A1:G1"/>
    <mergeCell ref="A3:G3"/>
    <mergeCell ref="A23:G23"/>
    <mergeCell ref="A61:G61"/>
    <mergeCell ref="A44:G45"/>
    <mergeCell ref="A54:F54"/>
    <mergeCell ref="A56:F56"/>
    <mergeCell ref="A57:F57"/>
    <mergeCell ref="A59:F59"/>
  </mergeCells>
  <conditionalFormatting sqref="A44 H44:XFD45 A55:XFD55 A54 G54:XFD54 A58:XFD58 A56:A57 G56:XFD57 A59 G59:XFD59 A60:XFD1048576 A1:XFD43 A46:XFD53">
    <cfRule type="expression" dxfId="31" priority="1">
      <formula>CELL("proteger",A1)=1</formula>
    </cfRule>
  </conditionalFormatting>
  <printOptions horizontalCentered="1"/>
  <pageMargins left="0.7" right="0.7" top="0.75" bottom="0.75" header="0.3" footer="0.3"/>
  <pageSetup paperSize="9" scale="66" fitToHeight="0" orientation="portrait" r:id="rId1"/>
  <headerFooter scaleWithDoc="0"/>
  <rowBreaks count="1" manualBreakCount="1">
    <brk id="66" max="6" man="1"/>
  </rowBreaks>
  <drawing r:id="rId2"/>
  <legacyDrawing r:id="rId3"/>
  <legacyDrawingHF r:id="rId4"/>
  <oleObjects>
    <mc:AlternateContent xmlns:mc="http://schemas.openxmlformats.org/markup-compatibility/2006">
      <mc:Choice Requires="x14">
        <oleObject progId="CorelDraw.Graphic.18" shapeId="30721" r:id="rId5">
          <objectPr defaultSize="0" autoPict="0" r:id="rId6">
            <anchor moveWithCells="1">
              <from>
                <xdr:col>0</xdr:col>
                <xdr:colOff>1619250</xdr:colOff>
                <xdr:row>0</xdr:row>
                <xdr:rowOff>85725</xdr:rowOff>
              </from>
              <to>
                <xdr:col>0</xdr:col>
                <xdr:colOff>2505075</xdr:colOff>
                <xdr:row>0</xdr:row>
                <xdr:rowOff>752475</xdr:rowOff>
              </to>
            </anchor>
          </objectPr>
        </oleObject>
      </mc:Choice>
      <mc:Fallback>
        <oleObject progId="CorelDraw.Graphic.18" shapeId="30721" r:id="rId5"/>
      </mc:Fallback>
    </mc:AlternateContent>
  </oleObjects>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A60DEF-90EC-4123-84E9-CCEEB3CBD36F}">
  <sheetPr>
    <tabColor theme="5" tint="-0.249977111117893"/>
    <pageSetUpPr fitToPage="1"/>
  </sheetPr>
  <dimension ref="A1:L396"/>
  <sheetViews>
    <sheetView view="pageBreakPreview" topLeftCell="A2" zoomScale="70" zoomScaleNormal="85" zoomScaleSheetLayoutView="70" workbookViewId="0">
      <selection activeCell="H18" sqref="H18"/>
    </sheetView>
  </sheetViews>
  <sheetFormatPr defaultColWidth="8.875" defaultRowHeight="14.25"/>
  <cols>
    <col min="1" max="1" width="51.875" style="712" bestFit="1" customWidth="1"/>
    <col min="2" max="2" width="9.875" style="712" customWidth="1"/>
    <col min="3" max="3" width="16.75" style="712" bestFit="1" customWidth="1"/>
    <col min="4" max="4" width="17.125" style="712" customWidth="1"/>
    <col min="5" max="5" width="22.875" style="712" bestFit="1" customWidth="1"/>
    <col min="6" max="6" width="12" style="712" customWidth="1"/>
    <col min="7" max="7" width="11" style="712" bestFit="1" customWidth="1"/>
    <col min="8" max="8" width="42" style="712" bestFit="1" customWidth="1"/>
    <col min="9" max="9" width="10.125" style="712" bestFit="1" customWidth="1"/>
    <col min="10" max="10" width="12.375" style="712" bestFit="1" customWidth="1"/>
    <col min="11" max="11" width="12.75" style="712" bestFit="1" customWidth="1"/>
    <col min="12" max="12" width="14.625" style="712" bestFit="1" customWidth="1"/>
    <col min="13" max="16384" width="8.875" style="712"/>
  </cols>
  <sheetData>
    <row r="1" spans="1:12" ht="75.75" customHeight="1" thickBot="1">
      <c r="A1" s="1485" t="s">
        <v>657</v>
      </c>
      <c r="B1" s="1486"/>
      <c r="C1" s="1486"/>
      <c r="D1" s="1486"/>
      <c r="E1" s="1487"/>
      <c r="F1" s="711"/>
      <c r="G1" s="711"/>
      <c r="H1" s="711"/>
      <c r="I1" s="711"/>
      <c r="J1" s="711"/>
    </row>
    <row r="2" spans="1:12" ht="15.6" customHeight="1">
      <c r="A2" s="796" t="s">
        <v>51</v>
      </c>
      <c r="B2" s="797"/>
      <c r="C2" s="797"/>
      <c r="D2" s="798" t="s">
        <v>52</v>
      </c>
      <c r="E2" s="799">
        <v>46091</v>
      </c>
      <c r="F2" s="800"/>
      <c r="G2" s="403"/>
      <c r="H2" s="403"/>
      <c r="I2" s="403"/>
      <c r="J2" s="403"/>
      <c r="K2" s="717"/>
      <c r="L2" s="717"/>
    </row>
    <row r="3" spans="1:12" ht="15.6" customHeight="1" thickBot="1">
      <c r="A3" s="801" t="s">
        <v>127</v>
      </c>
      <c r="B3" s="802"/>
      <c r="C3" s="802"/>
      <c r="D3" s="803" t="s">
        <v>53</v>
      </c>
      <c r="E3" s="804">
        <v>0.24840000000000001</v>
      </c>
      <c r="F3" s="805"/>
      <c r="G3" s="403"/>
      <c r="H3" s="403"/>
      <c r="I3" s="403"/>
      <c r="J3" s="403"/>
      <c r="K3" s="717"/>
      <c r="L3" s="717"/>
    </row>
    <row r="4" spans="1:12" ht="15.6" customHeight="1" thickBot="1">
      <c r="A4" s="806"/>
      <c r="B4" s="807"/>
      <c r="C4" s="807"/>
      <c r="D4" s="808"/>
      <c r="E4" s="809"/>
      <c r="F4" s="805"/>
      <c r="G4" s="403"/>
      <c r="H4" s="403"/>
      <c r="I4" s="403"/>
      <c r="J4" s="403"/>
      <c r="K4" s="717"/>
      <c r="L4" s="717"/>
    </row>
    <row r="5" spans="1:12" ht="16.5" thickBot="1">
      <c r="A5" s="1488" t="s">
        <v>105</v>
      </c>
      <c r="B5" s="1489"/>
      <c r="C5" s="1489"/>
      <c r="D5" s="1489"/>
      <c r="E5" s="1490"/>
      <c r="F5" s="403"/>
      <c r="G5" s="403"/>
      <c r="H5" s="403"/>
      <c r="I5" s="403"/>
      <c r="J5" s="403"/>
      <c r="K5" s="717"/>
      <c r="L5" s="717"/>
    </row>
    <row r="6" spans="1:12" ht="31.5">
      <c r="A6" s="376" t="s">
        <v>75</v>
      </c>
      <c r="B6" s="377" t="s">
        <v>43</v>
      </c>
      <c r="C6" s="377" t="s">
        <v>99</v>
      </c>
      <c r="D6" s="378" t="s">
        <v>281</v>
      </c>
      <c r="E6" s="379" t="s">
        <v>280</v>
      </c>
      <c r="F6" s="403"/>
      <c r="G6" s="717"/>
      <c r="H6" s="717"/>
      <c r="I6" s="717"/>
      <c r="J6" s="717"/>
      <c r="K6" s="717"/>
      <c r="L6" s="717"/>
    </row>
    <row r="7" spans="1:12" ht="15.75">
      <c r="A7" s="380" t="s">
        <v>583</v>
      </c>
      <c r="B7" s="381">
        <v>1</v>
      </c>
      <c r="C7" s="818">
        <f>C59</f>
        <v>56.957599999999999</v>
      </c>
      <c r="D7" s="408">
        <f>C7*(1+E$3)</f>
        <v>71.105867840000002</v>
      </c>
      <c r="E7" s="409">
        <f>D7*B7</f>
        <v>71.105867840000002</v>
      </c>
      <c r="F7" s="403"/>
      <c r="G7" s="717"/>
      <c r="H7" s="717"/>
      <c r="I7" s="717"/>
      <c r="J7" s="717"/>
      <c r="K7" s="717"/>
      <c r="L7" s="717"/>
    </row>
    <row r="8" spans="1:12" ht="15.75">
      <c r="A8" s="380" t="s">
        <v>584</v>
      </c>
      <c r="B8" s="381">
        <v>1</v>
      </c>
      <c r="C8" s="818">
        <f>C83</f>
        <v>133.45899999999997</v>
      </c>
      <c r="D8" s="408">
        <f t="shared" ref="D8:D14" si="0">C8*(1+E$3)</f>
        <v>166.61021559999998</v>
      </c>
      <c r="E8" s="409">
        <f t="shared" ref="E8:E14" si="1">D8*B8</f>
        <v>166.61021559999998</v>
      </c>
      <c r="F8" s="403"/>
      <c r="G8" s="717"/>
      <c r="H8" s="717"/>
      <c r="I8" s="717"/>
      <c r="J8" s="717"/>
      <c r="K8" s="717"/>
      <c r="L8" s="717"/>
    </row>
    <row r="9" spans="1:12" ht="15.75">
      <c r="A9" s="380" t="s">
        <v>585</v>
      </c>
      <c r="B9" s="381">
        <v>1</v>
      </c>
      <c r="C9" s="818">
        <v>100</v>
      </c>
      <c r="D9" s="408">
        <f t="shared" si="0"/>
        <v>124.83999999999999</v>
      </c>
      <c r="E9" s="409">
        <f t="shared" si="1"/>
        <v>124.83999999999999</v>
      </c>
      <c r="F9" s="403"/>
      <c r="G9" s="717"/>
      <c r="H9" s="717"/>
      <c r="I9" s="717"/>
      <c r="J9" s="717"/>
      <c r="K9" s="717"/>
      <c r="L9" s="717"/>
    </row>
    <row r="10" spans="1:12" ht="15.75">
      <c r="A10" s="380" t="s">
        <v>106</v>
      </c>
      <c r="B10" s="381">
        <v>1</v>
      </c>
      <c r="C10" s="818">
        <v>100</v>
      </c>
      <c r="D10" s="408">
        <f t="shared" si="0"/>
        <v>124.83999999999999</v>
      </c>
      <c r="E10" s="409">
        <f t="shared" si="1"/>
        <v>124.83999999999999</v>
      </c>
      <c r="F10" s="403"/>
      <c r="G10" s="717"/>
      <c r="H10" s="717"/>
      <c r="I10" s="717"/>
      <c r="J10" s="717"/>
      <c r="K10" s="717"/>
      <c r="L10" s="717"/>
    </row>
    <row r="11" spans="1:12" ht="15.75">
      <c r="A11" s="380" t="s">
        <v>597</v>
      </c>
      <c r="B11" s="381">
        <v>1</v>
      </c>
      <c r="C11" s="819">
        <f>E391</f>
        <v>107.51</v>
      </c>
      <c r="D11" s="408">
        <f t="shared" si="0"/>
        <v>134.215484</v>
      </c>
      <c r="E11" s="409">
        <f t="shared" si="1"/>
        <v>134.215484</v>
      </c>
      <c r="F11" s="403"/>
      <c r="G11" s="717"/>
      <c r="H11" s="717"/>
      <c r="I11" s="717"/>
      <c r="J11" s="717"/>
      <c r="K11" s="717"/>
      <c r="L11" s="717"/>
    </row>
    <row r="12" spans="1:12" ht="15.75">
      <c r="A12" s="382" t="s">
        <v>586</v>
      </c>
      <c r="B12" s="383">
        <v>1</v>
      </c>
      <c r="C12" s="819">
        <f>D206+D291+D375</f>
        <v>21.127333333333333</v>
      </c>
      <c r="D12" s="410">
        <f t="shared" si="0"/>
        <v>26.375362933333331</v>
      </c>
      <c r="E12" s="411">
        <f t="shared" si="1"/>
        <v>26.375362933333331</v>
      </c>
      <c r="F12" s="403"/>
      <c r="G12" s="717"/>
      <c r="H12" s="717"/>
      <c r="I12" s="717"/>
      <c r="J12" s="717"/>
      <c r="K12" s="717"/>
      <c r="L12" s="717"/>
    </row>
    <row r="13" spans="1:12" ht="15.75">
      <c r="A13" s="380" t="s">
        <v>588</v>
      </c>
      <c r="B13" s="381">
        <v>1</v>
      </c>
      <c r="C13" s="818">
        <f>1200</f>
        <v>1200</v>
      </c>
      <c r="D13" s="408">
        <f t="shared" si="0"/>
        <v>1498.08</v>
      </c>
      <c r="E13" s="409">
        <f t="shared" si="1"/>
        <v>1498.08</v>
      </c>
      <c r="F13" s="403"/>
      <c r="G13" s="717"/>
      <c r="H13" s="717"/>
      <c r="I13" s="717"/>
      <c r="J13" s="717"/>
      <c r="K13" s="717"/>
      <c r="L13" s="717"/>
    </row>
    <row r="14" spans="1:12" ht="15.75">
      <c r="A14" s="380" t="s">
        <v>587</v>
      </c>
      <c r="B14" s="512">
        <v>1</v>
      </c>
      <c r="C14" s="818">
        <f>'VEÍCULO UTILITÁRIO - PICKUP'!E42</f>
        <v>3768.7863379166665</v>
      </c>
      <c r="D14" s="408">
        <f t="shared" si="0"/>
        <v>4704.9528642551659</v>
      </c>
      <c r="E14" s="409">
        <f t="shared" si="1"/>
        <v>4704.9528642551659</v>
      </c>
      <c r="F14" s="403"/>
      <c r="G14" s="717"/>
      <c r="H14" s="717"/>
      <c r="I14" s="717"/>
      <c r="J14" s="717"/>
      <c r="K14" s="717"/>
      <c r="L14" s="717"/>
    </row>
    <row r="15" spans="1:12" ht="15.75">
      <c r="A15" s="1495" t="s">
        <v>18</v>
      </c>
      <c r="B15" s="1496"/>
      <c r="C15" s="384"/>
      <c r="D15" s="384"/>
      <c r="E15" s="409">
        <f>SUM(E7:E14)</f>
        <v>6851.0197946284989</v>
      </c>
      <c r="F15" s="403"/>
      <c r="G15" s="717"/>
      <c r="H15" s="717"/>
      <c r="I15" s="717"/>
      <c r="J15" s="717"/>
      <c r="K15" s="717"/>
      <c r="L15" s="717"/>
    </row>
    <row r="16" spans="1:12" ht="16.5" thickBot="1">
      <c r="A16" s="385"/>
      <c r="B16" s="386"/>
      <c r="C16" s="387"/>
      <c r="D16" s="388"/>
      <c r="E16" s="389"/>
      <c r="F16" s="403"/>
      <c r="G16" s="717"/>
      <c r="H16" s="717"/>
      <c r="I16" s="717"/>
      <c r="J16" s="717"/>
      <c r="K16" s="717"/>
      <c r="L16" s="717"/>
    </row>
    <row r="17" spans="1:12" ht="16.5" thickBot="1">
      <c r="A17" s="1488" t="s">
        <v>282</v>
      </c>
      <c r="B17" s="1489"/>
      <c r="C17" s="1489"/>
      <c r="D17" s="1489"/>
      <c r="E17" s="1490"/>
      <c r="F17" s="403"/>
      <c r="G17" s="717"/>
      <c r="H17" s="717"/>
      <c r="I17" s="717"/>
      <c r="J17" s="717"/>
      <c r="K17" s="717"/>
      <c r="L17" s="717"/>
    </row>
    <row r="18" spans="1:12" s="713" customFormat="1" ht="31.5">
      <c r="A18" s="376" t="s">
        <v>75</v>
      </c>
      <c r="B18" s="390" t="s">
        <v>43</v>
      </c>
      <c r="C18" s="377" t="s">
        <v>99</v>
      </c>
      <c r="D18" s="378" t="s">
        <v>281</v>
      </c>
      <c r="E18" s="379" t="s">
        <v>280</v>
      </c>
      <c r="F18" s="811"/>
      <c r="G18" s="811"/>
      <c r="H18" s="811"/>
      <c r="I18" s="811"/>
      <c r="J18" s="811"/>
      <c r="K18" s="812"/>
      <c r="L18" s="812"/>
    </row>
    <row r="19" spans="1:12" s="713" customFormat="1" ht="15.75">
      <c r="A19" s="391" t="s">
        <v>125</v>
      </c>
      <c r="B19" s="392">
        <v>1</v>
      </c>
      <c r="C19" s="810">
        <f>'M.O. ADM LOCAL'!G63</f>
        <v>5316.15</v>
      </c>
      <c r="D19" s="393">
        <f>C19*(1+E$3)</f>
        <v>6636.6816599999993</v>
      </c>
      <c r="E19" s="394">
        <f>D19*B19</f>
        <v>6636.6816599999993</v>
      </c>
      <c r="F19" s="811"/>
      <c r="G19" s="1518"/>
      <c r="H19" s="1518"/>
      <c r="I19" s="1518"/>
      <c r="J19" s="1518"/>
      <c r="K19" s="1518"/>
      <c r="L19" s="1518"/>
    </row>
    <row r="20" spans="1:12" s="713" customFormat="1" ht="15.75">
      <c r="A20" s="391" t="s">
        <v>484</v>
      </c>
      <c r="B20" s="392">
        <v>1</v>
      </c>
      <c r="C20" s="810">
        <f>'M.O. ADM LOCAL'!G64</f>
        <v>7471.7300000000005</v>
      </c>
      <c r="D20" s="393">
        <f>C20*(1+E$3)</f>
        <v>9327.7077320000008</v>
      </c>
      <c r="E20" s="394">
        <f>D20*B20</f>
        <v>9327.7077320000008</v>
      </c>
      <c r="F20" s="811"/>
      <c r="G20" s="813"/>
      <c r="H20" s="813"/>
      <c r="I20" s="813"/>
      <c r="J20" s="813"/>
      <c r="K20" s="813"/>
      <c r="L20" s="813"/>
    </row>
    <row r="21" spans="1:12" s="713" customFormat="1" ht="15.75">
      <c r="A21" s="395" t="s">
        <v>126</v>
      </c>
      <c r="B21" s="396">
        <v>1</v>
      </c>
      <c r="C21" s="810">
        <f>'M.O. ADM LOCAL'!G65</f>
        <v>7651.2799999999988</v>
      </c>
      <c r="D21" s="393">
        <f>C21*(1+E$3)</f>
        <v>9551.8579519999985</v>
      </c>
      <c r="E21" s="394">
        <f>D21*B21</f>
        <v>9551.8579519999985</v>
      </c>
      <c r="F21" s="811"/>
      <c r="G21" s="814"/>
      <c r="H21" s="814"/>
      <c r="I21" s="814"/>
      <c r="J21" s="814"/>
      <c r="K21" s="815"/>
      <c r="L21" s="816"/>
    </row>
    <row r="22" spans="1:12" s="713" customFormat="1" ht="15.75">
      <c r="A22" s="1495" t="s">
        <v>18</v>
      </c>
      <c r="B22" s="1496"/>
      <c r="C22" s="397"/>
      <c r="D22" s="398"/>
      <c r="E22" s="394">
        <f>SUM(E19:E21)</f>
        <v>25516.247343999999</v>
      </c>
      <c r="F22" s="811"/>
      <c r="G22" s="814"/>
      <c r="H22" s="814"/>
      <c r="I22" s="814"/>
      <c r="J22" s="814"/>
      <c r="K22" s="817"/>
      <c r="L22" s="760"/>
    </row>
    <row r="23" spans="1:12" ht="16.5" thickBot="1">
      <c r="A23" s="399"/>
      <c r="B23" s="400"/>
      <c r="C23" s="400"/>
      <c r="D23" s="401"/>
      <c r="E23" s="402"/>
      <c r="F23" s="403"/>
      <c r="G23" s="403"/>
      <c r="H23" s="403"/>
      <c r="I23" s="403"/>
      <c r="J23" s="403"/>
      <c r="K23" s="717"/>
      <c r="L23" s="717"/>
    </row>
    <row r="24" spans="1:12" ht="16.5" thickBot="1">
      <c r="A24" s="1488" t="s">
        <v>283</v>
      </c>
      <c r="B24" s="1489"/>
      <c r="C24" s="1489"/>
      <c r="D24" s="1489"/>
      <c r="E24" s="375">
        <f>SUM(E15,E22)</f>
        <v>32367.2671386285</v>
      </c>
      <c r="F24" s="403"/>
      <c r="G24" s="403"/>
      <c r="H24" s="403"/>
      <c r="I24" s="403"/>
      <c r="J24" s="403"/>
      <c r="K24" s="717"/>
      <c r="L24" s="717"/>
    </row>
    <row r="25" spans="1:12" ht="15.75" customHeight="1">
      <c r="A25" s="1497" t="s">
        <v>596</v>
      </c>
      <c r="B25" s="1498"/>
      <c r="C25" s="1498"/>
      <c r="D25" s="1498"/>
      <c r="E25" s="1499"/>
      <c r="F25" s="711"/>
      <c r="G25" s="711"/>
      <c r="H25" s="711"/>
      <c r="I25" s="711"/>
      <c r="J25" s="711"/>
    </row>
    <row r="26" spans="1:12" ht="15.75">
      <c r="A26" s="1500"/>
      <c r="B26" s="1501"/>
      <c r="C26" s="1501"/>
      <c r="D26" s="1501"/>
      <c r="E26" s="1502"/>
      <c r="F26" s="711"/>
      <c r="G26" s="711"/>
      <c r="H26" s="711"/>
      <c r="I26" s="711"/>
      <c r="J26" s="711"/>
    </row>
    <row r="27" spans="1:12" ht="15.75">
      <c r="A27" s="1500"/>
      <c r="B27" s="1501"/>
      <c r="C27" s="1501"/>
      <c r="D27" s="1501"/>
      <c r="E27" s="1502"/>
      <c r="F27" s="711"/>
      <c r="G27" s="711"/>
      <c r="H27" s="711"/>
      <c r="I27" s="711"/>
      <c r="J27" s="711"/>
    </row>
    <row r="28" spans="1:12" ht="16.5" thickBot="1">
      <c r="A28" s="1503"/>
      <c r="B28" s="1504"/>
      <c r="C28" s="1504"/>
      <c r="D28" s="1504"/>
      <c r="E28" s="1505"/>
      <c r="F28" s="711"/>
      <c r="G28" s="711"/>
      <c r="H28" s="711"/>
      <c r="I28" s="711"/>
      <c r="J28" s="711"/>
    </row>
    <row r="29" spans="1:12" ht="15.75">
      <c r="A29" s="721"/>
      <c r="B29" s="715"/>
      <c r="C29" s="715"/>
      <c r="D29" s="715"/>
      <c r="E29" s="722"/>
      <c r="F29" s="711"/>
      <c r="G29" s="711"/>
      <c r="H29" s="711"/>
      <c r="I29" s="711"/>
      <c r="J29" s="711"/>
    </row>
    <row r="30" spans="1:12" ht="16.5" thickBot="1">
      <c r="A30" s="969"/>
      <c r="B30" s="970"/>
      <c r="C30" s="970"/>
      <c r="D30" s="970"/>
      <c r="E30" s="729"/>
      <c r="F30" s="711"/>
      <c r="G30" s="711"/>
      <c r="H30" s="711"/>
      <c r="I30" s="711"/>
      <c r="J30" s="711"/>
    </row>
    <row r="31" spans="1:12" ht="16.5" thickBot="1">
      <c r="A31" s="1493" t="s">
        <v>242</v>
      </c>
      <c r="B31" s="1494"/>
      <c r="C31" s="1494"/>
      <c r="D31" s="1494"/>
      <c r="E31" s="716"/>
      <c r="F31" s="711"/>
      <c r="G31" s="711"/>
      <c r="H31" s="711"/>
      <c r="I31" s="711"/>
      <c r="J31" s="711"/>
    </row>
    <row r="32" spans="1:12" ht="15.75">
      <c r="A32" s="718"/>
      <c r="B32" s="719"/>
      <c r="C32" s="719"/>
      <c r="D32" s="719"/>
      <c r="E32" s="720"/>
      <c r="F32" s="711"/>
      <c r="G32" s="711"/>
      <c r="H32" s="711"/>
      <c r="I32" s="711"/>
      <c r="J32" s="711"/>
    </row>
    <row r="33" spans="1:12" ht="15.75">
      <c r="A33" s="721"/>
      <c r="B33" s="715"/>
      <c r="C33" s="715"/>
      <c r="D33" s="715"/>
      <c r="E33" s="722"/>
      <c r="F33" s="711"/>
      <c r="G33" s="711"/>
      <c r="H33" s="711"/>
      <c r="I33" s="711"/>
      <c r="J33" s="711"/>
    </row>
    <row r="34" spans="1:12" ht="15.75">
      <c r="A34" s="721"/>
      <c r="B34" s="715"/>
      <c r="C34" s="715"/>
      <c r="D34" s="715"/>
      <c r="E34" s="722"/>
      <c r="F34" s="711"/>
      <c r="G34" s="711"/>
      <c r="H34" s="711"/>
      <c r="I34" s="711"/>
      <c r="J34" s="711"/>
    </row>
    <row r="35" spans="1:12" ht="15.75">
      <c r="A35" s="721"/>
      <c r="B35" s="715"/>
      <c r="C35" s="715"/>
      <c r="D35" s="715"/>
      <c r="E35" s="722"/>
      <c r="F35" s="711"/>
      <c r="G35" s="711"/>
      <c r="H35" s="711"/>
      <c r="I35" s="711"/>
      <c r="J35" s="711"/>
    </row>
    <row r="36" spans="1:12" ht="15.75">
      <c r="A36" s="721"/>
      <c r="B36" s="715"/>
      <c r="C36" s="715"/>
      <c r="D36" s="715"/>
      <c r="E36" s="722"/>
      <c r="F36" s="711"/>
      <c r="G36" s="711"/>
      <c r="H36" s="711"/>
      <c r="I36" s="711"/>
      <c r="J36" s="711"/>
    </row>
    <row r="37" spans="1:12" ht="15.75">
      <c r="A37" s="721"/>
      <c r="B37" s="715"/>
      <c r="C37" s="715"/>
      <c r="D37" s="715"/>
      <c r="E37" s="722"/>
      <c r="F37" s="711"/>
      <c r="G37" s="711"/>
      <c r="H37" s="711"/>
      <c r="I37" s="711"/>
      <c r="J37" s="711"/>
    </row>
    <row r="38" spans="1:12" ht="15.75">
      <c r="A38" s="721"/>
      <c r="B38" s="715"/>
      <c r="C38" s="715"/>
      <c r="D38" s="715"/>
      <c r="E38" s="722"/>
      <c r="F38" s="711"/>
      <c r="G38" s="711"/>
      <c r="H38" s="711"/>
      <c r="I38" s="711"/>
      <c r="J38" s="711"/>
    </row>
    <row r="39" spans="1:12" ht="15.75">
      <c r="A39" s="721"/>
      <c r="B39" s="715"/>
      <c r="C39" s="715"/>
      <c r="D39" s="715"/>
      <c r="E39" s="722"/>
      <c r="F39" s="711"/>
      <c r="G39" s="711"/>
      <c r="H39" s="711"/>
      <c r="I39" s="711"/>
      <c r="J39" s="711"/>
    </row>
    <row r="40" spans="1:12" ht="15.75">
      <c r="A40" s="721"/>
      <c r="B40" s="715"/>
      <c r="C40" s="715"/>
      <c r="D40" s="715"/>
      <c r="E40" s="722"/>
      <c r="F40" s="711"/>
      <c r="G40" s="711"/>
      <c r="H40" s="711"/>
      <c r="I40" s="711"/>
      <c r="J40" s="711"/>
    </row>
    <row r="41" spans="1:12" ht="15.75">
      <c r="A41" s="721"/>
      <c r="B41" s="715"/>
      <c r="C41" s="715"/>
      <c r="D41" s="715"/>
      <c r="E41" s="722"/>
      <c r="F41" s="711"/>
      <c r="G41" s="711"/>
      <c r="H41" s="711"/>
      <c r="I41" s="711"/>
      <c r="J41" s="711"/>
    </row>
    <row r="42" spans="1:12" ht="15.75">
      <c r="A42" s="721"/>
      <c r="B42" s="715"/>
      <c r="C42" s="715"/>
      <c r="D42" s="715"/>
      <c r="E42" s="722"/>
      <c r="F42" s="711"/>
      <c r="G42" s="711"/>
      <c r="H42" s="711"/>
      <c r="I42" s="711"/>
      <c r="J42" s="711"/>
    </row>
    <row r="43" spans="1:12" ht="15.75">
      <c r="A43" s="721"/>
      <c r="B43" s="715"/>
      <c r="C43" s="715"/>
      <c r="D43" s="715"/>
      <c r="E43" s="722"/>
      <c r="F43" s="711"/>
      <c r="G43" s="711"/>
      <c r="H43" s="711"/>
      <c r="I43" s="711"/>
      <c r="J43" s="711"/>
    </row>
    <row r="44" spans="1:12" ht="15.75">
      <c r="A44" s="721"/>
      <c r="B44" s="715"/>
      <c r="C44" s="715"/>
      <c r="D44" s="715"/>
      <c r="E44" s="722"/>
      <c r="F44" s="711"/>
      <c r="G44" s="711"/>
      <c r="H44" s="711"/>
      <c r="I44" s="711"/>
      <c r="J44" s="711"/>
    </row>
    <row r="45" spans="1:12" ht="15.75">
      <c r="A45" s="721"/>
      <c r="B45" s="715"/>
      <c r="C45" s="715"/>
      <c r="D45" s="715"/>
      <c r="E45" s="722"/>
      <c r="F45" s="711"/>
      <c r="G45" s="711"/>
      <c r="H45" s="711"/>
      <c r="I45" s="711"/>
      <c r="J45" s="711"/>
    </row>
    <row r="46" spans="1:12" ht="15.75">
      <c r="A46" s="721"/>
      <c r="B46" s="715"/>
      <c r="C46" s="715"/>
      <c r="D46" s="715"/>
      <c r="E46" s="722"/>
      <c r="F46" s="403"/>
      <c r="G46" s="403"/>
      <c r="H46" s="403"/>
      <c r="I46" s="711"/>
      <c r="J46" s="711"/>
    </row>
    <row r="47" spans="1:12" ht="15.75">
      <c r="A47" s="721"/>
      <c r="B47" s="715"/>
      <c r="C47" s="715"/>
      <c r="D47" s="715"/>
      <c r="E47" s="722"/>
      <c r="F47" s="403"/>
      <c r="G47" s="403"/>
      <c r="H47" s="403"/>
      <c r="I47" s="711"/>
      <c r="J47" s="711"/>
    </row>
    <row r="48" spans="1:12" ht="15.75">
      <c r="A48" s="1519" t="s">
        <v>244</v>
      </c>
      <c r="B48" s="1520"/>
      <c r="C48" s="1520"/>
      <c r="D48" s="1520"/>
      <c r="E48" s="1521"/>
      <c r="F48" s="403"/>
      <c r="G48" s="403"/>
      <c r="H48" s="403"/>
      <c r="I48" s="403"/>
      <c r="J48" s="403"/>
      <c r="K48" s="717"/>
      <c r="L48" s="717"/>
    </row>
    <row r="49" spans="1:12" ht="15.75">
      <c r="A49" s="1512" t="s">
        <v>245</v>
      </c>
      <c r="B49" s="1513"/>
      <c r="C49" s="1513"/>
      <c r="D49" s="1513"/>
      <c r="E49" s="1514"/>
      <c r="F49" s="403"/>
      <c r="G49" s="403"/>
      <c r="H49" s="403"/>
      <c r="I49" s="403"/>
      <c r="J49" s="403"/>
      <c r="K49" s="717"/>
      <c r="L49" s="717"/>
    </row>
    <row r="50" spans="1:12" ht="15.75">
      <c r="A50" s="743" t="s">
        <v>598</v>
      </c>
      <c r="B50" s="731"/>
      <c r="C50" s="732"/>
      <c r="D50" s="401"/>
      <c r="E50" s="722"/>
      <c r="F50" s="403"/>
      <c r="G50" s="403"/>
      <c r="H50" s="403"/>
      <c r="I50" s="403"/>
      <c r="J50" s="403"/>
      <c r="K50" s="717"/>
      <c r="L50" s="717"/>
    </row>
    <row r="51" spans="1:12" ht="15.75">
      <c r="A51" s="744" t="s">
        <v>251</v>
      </c>
      <c r="B51" s="733"/>
      <c r="C51" s="732">
        <v>42.86</v>
      </c>
      <c r="D51" s="401"/>
      <c r="E51" s="722"/>
      <c r="F51" s="403"/>
      <c r="G51" s="403"/>
      <c r="H51" s="403"/>
      <c r="I51" s="403"/>
      <c r="J51" s="403"/>
      <c r="K51" s="717"/>
      <c r="L51" s="717"/>
    </row>
    <row r="52" spans="1:12" ht="15.75">
      <c r="A52" s="744" t="s">
        <v>247</v>
      </c>
      <c r="B52" s="731"/>
      <c r="C52" s="731">
        <v>30</v>
      </c>
      <c r="D52" s="401"/>
      <c r="E52" s="722"/>
      <c r="F52" s="403"/>
      <c r="G52" s="403"/>
      <c r="H52" s="403"/>
      <c r="I52" s="403"/>
      <c r="J52" s="403"/>
      <c r="K52" s="717"/>
      <c r="L52" s="717"/>
    </row>
    <row r="53" spans="1:12" ht="15.75">
      <c r="A53" s="744" t="s">
        <v>248</v>
      </c>
      <c r="B53" s="731"/>
      <c r="C53" s="731">
        <v>50</v>
      </c>
      <c r="D53" s="401"/>
      <c r="E53" s="722"/>
      <c r="F53" s="403"/>
      <c r="G53" s="403"/>
      <c r="H53" s="403"/>
      <c r="I53" s="403"/>
      <c r="J53" s="403"/>
      <c r="K53" s="717"/>
      <c r="L53" s="717"/>
    </row>
    <row r="54" spans="1:12" ht="15.75">
      <c r="A54" s="744"/>
      <c r="B54" s="734"/>
      <c r="C54" s="731"/>
      <c r="D54" s="401"/>
      <c r="E54" s="722"/>
      <c r="F54" s="403"/>
      <c r="G54" s="403"/>
      <c r="H54" s="403"/>
      <c r="I54" s="403"/>
      <c r="J54" s="403"/>
      <c r="K54" s="717"/>
      <c r="L54" s="717"/>
    </row>
    <row r="55" spans="1:12" ht="15.75">
      <c r="A55" s="744"/>
      <c r="B55" s="730"/>
      <c r="C55" s="731"/>
      <c r="D55" s="401"/>
      <c r="E55" s="722"/>
      <c r="F55" s="403"/>
      <c r="G55" s="403"/>
      <c r="H55" s="403"/>
      <c r="I55" s="403"/>
      <c r="J55" s="403"/>
      <c r="K55" s="717"/>
      <c r="L55" s="717"/>
    </row>
    <row r="56" spans="1:12" ht="15.75">
      <c r="A56" s="743" t="s">
        <v>253</v>
      </c>
      <c r="B56" s="730"/>
      <c r="C56" s="731">
        <f>(30*3*26/1000)</f>
        <v>2.34</v>
      </c>
      <c r="D56" s="401"/>
      <c r="E56" s="722"/>
      <c r="F56" s="403"/>
      <c r="G56" s="403"/>
      <c r="H56" s="403"/>
      <c r="I56" s="403"/>
      <c r="J56" s="403"/>
      <c r="K56" s="717"/>
      <c r="L56" s="717"/>
    </row>
    <row r="57" spans="1:12" ht="15.75">
      <c r="A57" s="743" t="s">
        <v>252</v>
      </c>
      <c r="B57" s="731"/>
      <c r="C57" s="731">
        <f>(50*6)/1000</f>
        <v>0.3</v>
      </c>
      <c r="D57" s="401"/>
      <c r="E57" s="722"/>
      <c r="F57" s="403"/>
      <c r="G57" s="403"/>
      <c r="H57" s="403"/>
      <c r="I57" s="403"/>
      <c r="J57" s="403"/>
      <c r="K57" s="717"/>
      <c r="L57" s="717"/>
    </row>
    <row r="58" spans="1:12" ht="16.5" thickBot="1">
      <c r="A58" s="745" t="s">
        <v>250</v>
      </c>
      <c r="B58" s="735"/>
      <c r="C58" s="735">
        <f>SUM(C56:C57)</f>
        <v>2.6399999999999997</v>
      </c>
      <c r="D58" s="401"/>
      <c r="E58" s="722"/>
      <c r="F58" s="403"/>
      <c r="G58" s="403"/>
      <c r="H58" s="403"/>
      <c r="I58" s="403"/>
      <c r="J58" s="403"/>
      <c r="K58" s="717"/>
      <c r="L58" s="717"/>
    </row>
    <row r="59" spans="1:12" ht="16.5" thickBot="1">
      <c r="A59" s="405" t="s">
        <v>254</v>
      </c>
      <c r="B59" s="406"/>
      <c r="C59" s="407">
        <f>C58*5.34+C51</f>
        <v>56.957599999999999</v>
      </c>
      <c r="D59" s="727"/>
      <c r="E59" s="729"/>
      <c r="F59" s="403"/>
      <c r="G59" s="403"/>
      <c r="H59" s="403"/>
      <c r="I59" s="403"/>
      <c r="J59" s="403"/>
      <c r="K59" s="717"/>
      <c r="L59" s="717"/>
    </row>
    <row r="60" spans="1:12" ht="16.5" thickBot="1">
      <c r="A60" s="715"/>
      <c r="B60" s="715"/>
      <c r="C60" s="715"/>
      <c r="D60" s="715"/>
      <c r="E60" s="715"/>
      <c r="F60" s="401"/>
      <c r="G60" s="401"/>
      <c r="H60" s="403"/>
      <c r="I60" s="403"/>
      <c r="J60" s="403"/>
      <c r="K60" s="717"/>
      <c r="L60" s="717"/>
    </row>
    <row r="61" spans="1:12" ht="16.5" thickBot="1">
      <c r="A61" s="1460" t="s">
        <v>243</v>
      </c>
      <c r="B61" s="1461"/>
      <c r="C61" s="1461"/>
      <c r="D61" s="1461"/>
      <c r="E61" s="1462"/>
      <c r="F61" s="403"/>
      <c r="G61" s="403"/>
      <c r="H61" s="403"/>
      <c r="I61" s="403"/>
      <c r="J61" s="403"/>
      <c r="K61" s="717"/>
      <c r="L61" s="717"/>
    </row>
    <row r="62" spans="1:12" ht="15.75">
      <c r="A62" s="721"/>
      <c r="B62" s="715"/>
      <c r="C62" s="715"/>
      <c r="D62" s="715"/>
      <c r="E62" s="722"/>
      <c r="F62" s="403"/>
      <c r="G62" s="403"/>
      <c r="H62" s="403"/>
      <c r="I62" s="403"/>
      <c r="J62" s="403"/>
      <c r="K62" s="717"/>
      <c r="L62" s="717"/>
    </row>
    <row r="63" spans="1:12" ht="15.75">
      <c r="A63" s="721"/>
      <c r="B63" s="715"/>
      <c r="C63" s="715"/>
      <c r="D63" s="715"/>
      <c r="E63" s="722"/>
      <c r="F63" s="403"/>
      <c r="G63" s="403"/>
      <c r="H63" s="403"/>
      <c r="I63" s="403"/>
      <c r="J63" s="403"/>
      <c r="K63" s="717"/>
      <c r="L63" s="717"/>
    </row>
    <row r="64" spans="1:12" ht="15.75">
      <c r="A64" s="721"/>
      <c r="B64" s="715"/>
      <c r="C64" s="715"/>
      <c r="D64" s="715"/>
      <c r="E64" s="722"/>
      <c r="F64" s="403"/>
      <c r="G64" s="403"/>
      <c r="H64" s="403"/>
      <c r="I64" s="403"/>
      <c r="J64" s="403"/>
      <c r="K64" s="717"/>
      <c r="L64" s="717"/>
    </row>
    <row r="65" spans="1:12" ht="15.75">
      <c r="A65" s="721"/>
      <c r="B65" s="715"/>
      <c r="C65" s="715"/>
      <c r="D65" s="715"/>
      <c r="E65" s="722"/>
      <c r="F65" s="403"/>
      <c r="G65" s="403"/>
      <c r="H65" s="403"/>
      <c r="I65" s="403"/>
      <c r="J65" s="403"/>
      <c r="K65" s="717"/>
      <c r="L65" s="717"/>
    </row>
    <row r="66" spans="1:12" ht="15.75">
      <c r="A66" s="721"/>
      <c r="B66" s="715"/>
      <c r="C66" s="715"/>
      <c r="D66" s="715"/>
      <c r="E66" s="722"/>
      <c r="F66" s="403"/>
      <c r="G66" s="403"/>
      <c r="H66" s="403"/>
      <c r="I66" s="403"/>
      <c r="J66" s="403"/>
      <c r="K66" s="717"/>
      <c r="L66" s="717"/>
    </row>
    <row r="67" spans="1:12" ht="15.75">
      <c r="A67" s="721"/>
      <c r="B67" s="715"/>
      <c r="C67" s="715"/>
      <c r="D67" s="715"/>
      <c r="E67" s="722"/>
      <c r="F67" s="403"/>
      <c r="G67" s="403"/>
      <c r="H67" s="403"/>
      <c r="I67" s="403"/>
      <c r="J67" s="403"/>
      <c r="K67" s="717"/>
      <c r="L67" s="717"/>
    </row>
    <row r="68" spans="1:12" ht="15.75">
      <c r="A68" s="721"/>
      <c r="B68" s="715"/>
      <c r="C68" s="715"/>
      <c r="D68" s="715"/>
      <c r="E68" s="722"/>
      <c r="F68" s="403"/>
      <c r="G68" s="403"/>
      <c r="H68" s="403"/>
      <c r="I68" s="403"/>
      <c r="J68" s="403"/>
      <c r="K68" s="717"/>
      <c r="L68" s="717"/>
    </row>
    <row r="69" spans="1:12" ht="15.75">
      <c r="A69" s="721"/>
      <c r="B69" s="715"/>
      <c r="C69" s="715"/>
      <c r="D69" s="715"/>
      <c r="E69" s="722"/>
      <c r="F69" s="403"/>
      <c r="G69" s="403"/>
      <c r="H69" s="403"/>
      <c r="I69" s="403"/>
      <c r="J69" s="403"/>
      <c r="K69" s="717"/>
      <c r="L69" s="717"/>
    </row>
    <row r="70" spans="1:12" ht="15.75">
      <c r="A70" s="721"/>
      <c r="B70" s="715"/>
      <c r="C70" s="715"/>
      <c r="D70" s="715"/>
      <c r="E70" s="722"/>
      <c r="F70" s="403"/>
      <c r="G70" s="403"/>
      <c r="H70" s="403"/>
      <c r="I70" s="403"/>
      <c r="J70" s="403"/>
      <c r="K70" s="717"/>
      <c r="L70" s="717"/>
    </row>
    <row r="71" spans="1:12" ht="15.75">
      <c r="A71" s="721"/>
      <c r="B71" s="715"/>
      <c r="C71" s="715"/>
      <c r="D71" s="715"/>
      <c r="E71" s="722"/>
      <c r="F71" s="403"/>
      <c r="G71" s="403"/>
      <c r="H71" s="403"/>
      <c r="I71" s="403"/>
      <c r="J71" s="403"/>
      <c r="K71" s="717"/>
      <c r="L71" s="717"/>
    </row>
    <row r="72" spans="1:12" ht="15.75">
      <c r="A72" s="721"/>
      <c r="B72" s="715"/>
      <c r="C72" s="715"/>
      <c r="D72" s="715"/>
      <c r="E72" s="722"/>
      <c r="F72" s="403"/>
      <c r="G72" s="403"/>
      <c r="H72" s="403"/>
      <c r="I72" s="403"/>
      <c r="J72" s="403"/>
      <c r="K72" s="717"/>
      <c r="L72" s="717"/>
    </row>
    <row r="73" spans="1:12" ht="15.75">
      <c r="A73" s="1506" t="s">
        <v>241</v>
      </c>
      <c r="B73" s="1507"/>
      <c r="C73" s="1507"/>
      <c r="D73" s="1507"/>
      <c r="E73" s="1508"/>
      <c r="F73" s="403"/>
      <c r="G73" s="403"/>
      <c r="H73" s="403"/>
      <c r="I73" s="403"/>
      <c r="J73" s="403"/>
      <c r="K73" s="717"/>
      <c r="L73" s="717"/>
    </row>
    <row r="74" spans="1:12" ht="15.75">
      <c r="A74" s="1506" t="s">
        <v>261</v>
      </c>
      <c r="B74" s="1507"/>
      <c r="C74" s="723">
        <v>150</v>
      </c>
      <c r="D74" s="404"/>
      <c r="E74" s="724"/>
      <c r="F74" s="403"/>
      <c r="G74" s="403"/>
      <c r="H74" s="403"/>
      <c r="I74" s="403"/>
      <c r="J74" s="403"/>
      <c r="K74" s="717"/>
      <c r="L74" s="717"/>
    </row>
    <row r="75" spans="1:12" ht="15.75" customHeight="1">
      <c r="A75" s="1509" t="s">
        <v>246</v>
      </c>
      <c r="B75" s="1510"/>
      <c r="C75" s="1510"/>
      <c r="D75" s="1510"/>
      <c r="E75" s="1511"/>
      <c r="F75" s="403"/>
      <c r="G75" s="403"/>
      <c r="H75" s="403"/>
      <c r="I75" s="403"/>
      <c r="J75" s="403"/>
      <c r="K75" s="717"/>
      <c r="L75" s="717"/>
    </row>
    <row r="76" spans="1:12" ht="15.75">
      <c r="A76" s="1509"/>
      <c r="B76" s="1510"/>
      <c r="C76" s="1510"/>
      <c r="D76" s="1510"/>
      <c r="E76" s="1511"/>
      <c r="F76" s="403"/>
      <c r="G76" s="403"/>
      <c r="H76" s="403"/>
      <c r="I76" s="403"/>
      <c r="J76" s="403"/>
      <c r="K76" s="717"/>
      <c r="L76" s="717"/>
    </row>
    <row r="77" spans="1:12" ht="15.75">
      <c r="A77" s="1509"/>
      <c r="B77" s="1510"/>
      <c r="C77" s="1510"/>
      <c r="D77" s="1510"/>
      <c r="E77" s="1511"/>
      <c r="F77" s="403"/>
      <c r="G77" s="403"/>
      <c r="H77" s="403"/>
      <c r="I77" s="403"/>
      <c r="J77" s="403"/>
      <c r="K77" s="717"/>
      <c r="L77" s="717"/>
    </row>
    <row r="78" spans="1:12" ht="15.75">
      <c r="A78" s="738" t="s">
        <v>257</v>
      </c>
      <c r="B78" s="738"/>
      <c r="C78" s="737">
        <f>C74*0.85858*4</f>
        <v>515.14800000000002</v>
      </c>
      <c r="D78" s="401"/>
      <c r="E78" s="402"/>
      <c r="F78" s="403"/>
      <c r="G78" s="403"/>
      <c r="H78" s="403"/>
      <c r="I78" s="403"/>
      <c r="J78" s="403"/>
      <c r="K78" s="717"/>
      <c r="L78" s="717"/>
    </row>
    <row r="79" spans="1:12" ht="15.75">
      <c r="A79" s="730" t="s">
        <v>258</v>
      </c>
      <c r="B79" s="730"/>
      <c r="C79" s="737">
        <f>C74*0.87743*2</f>
        <v>263.22899999999998</v>
      </c>
      <c r="D79" s="401"/>
      <c r="E79" s="725"/>
      <c r="F79" s="717"/>
      <c r="G79" s="717"/>
      <c r="H79" s="717"/>
      <c r="I79" s="403"/>
      <c r="J79" s="403"/>
      <c r="K79" s="717"/>
      <c r="L79" s="717"/>
    </row>
    <row r="80" spans="1:12" ht="15.75">
      <c r="A80" s="731" t="s">
        <v>259</v>
      </c>
      <c r="B80" s="731"/>
      <c r="C80" s="737">
        <f>0.90321*C74*4</f>
        <v>541.92599999999993</v>
      </c>
      <c r="D80" s="401"/>
      <c r="E80" s="725"/>
      <c r="F80" s="717"/>
      <c r="G80" s="717"/>
      <c r="H80" s="717"/>
      <c r="I80" s="403"/>
      <c r="J80" s="403"/>
      <c r="K80" s="717"/>
      <c r="L80" s="717"/>
    </row>
    <row r="81" spans="1:12" ht="15.75" customHeight="1" thickBot="1">
      <c r="A81" s="735" t="s">
        <v>260</v>
      </c>
      <c r="B81" s="735"/>
      <c r="C81" s="739">
        <f>C74*0.93735*2</f>
        <v>281.20499999999998</v>
      </c>
      <c r="D81" s="401"/>
      <c r="E81" s="725"/>
      <c r="F81" s="717"/>
      <c r="G81" s="717"/>
      <c r="H81" s="717"/>
      <c r="I81" s="403"/>
      <c r="J81" s="403"/>
      <c r="K81" s="717"/>
      <c r="L81" s="717"/>
    </row>
    <row r="82" spans="1:12" ht="14.25" customHeight="1" thickBot="1">
      <c r="A82" s="740" t="s">
        <v>62</v>
      </c>
      <c r="B82" s="741"/>
      <c r="C82" s="742">
        <f>SUM(C78:C81)</f>
        <v>1601.5079999999998</v>
      </c>
      <c r="D82" s="401"/>
      <c r="E82" s="725"/>
      <c r="F82" s="717"/>
      <c r="G82" s="717"/>
      <c r="H82" s="717"/>
      <c r="I82" s="403"/>
      <c r="J82" s="403"/>
      <c r="K82" s="717"/>
      <c r="L82" s="717"/>
    </row>
    <row r="83" spans="1:12" ht="16.5" thickBot="1">
      <c r="A83" s="1491" t="s">
        <v>666</v>
      </c>
      <c r="B83" s="1492"/>
      <c r="C83" s="736">
        <f>C82/12</f>
        <v>133.45899999999997</v>
      </c>
      <c r="D83" s="727"/>
      <c r="E83" s="728"/>
      <c r="F83" s="717"/>
      <c r="G83" s="717"/>
      <c r="H83" s="717"/>
      <c r="I83" s="403"/>
      <c r="J83" s="403"/>
      <c r="K83" s="717"/>
      <c r="L83" s="717"/>
    </row>
    <row r="84" spans="1:12" ht="15.75">
      <c r="A84" s="403"/>
      <c r="B84" s="403"/>
      <c r="C84" s="403"/>
      <c r="D84" s="403"/>
      <c r="E84" s="717"/>
      <c r="F84" s="717"/>
      <c r="G84" s="717"/>
      <c r="H84" s="717"/>
      <c r="I84" s="403"/>
      <c r="J84" s="403"/>
      <c r="K84" s="717"/>
      <c r="L84" s="717"/>
    </row>
    <row r="85" spans="1:12" ht="16.5" thickBot="1">
      <c r="A85" s="403"/>
      <c r="B85" s="403"/>
      <c r="C85" s="403"/>
      <c r="D85" s="403"/>
      <c r="E85" s="717"/>
      <c r="F85" s="717"/>
      <c r="G85" s="717"/>
      <c r="H85" s="717"/>
      <c r="I85" s="403"/>
      <c r="J85" s="403"/>
      <c r="K85" s="717"/>
      <c r="L85" s="717"/>
    </row>
    <row r="86" spans="1:12" ht="16.5" thickBot="1">
      <c r="A86" s="1460" t="s">
        <v>667</v>
      </c>
      <c r="B86" s="1461"/>
      <c r="C86" s="1461"/>
      <c r="D86" s="1461"/>
      <c r="E86" s="1462"/>
      <c r="F86" s="717"/>
      <c r="G86" s="717"/>
      <c r="H86" s="717"/>
      <c r="I86" s="403"/>
      <c r="J86" s="403"/>
      <c r="K86" s="717"/>
      <c r="L86" s="717"/>
    </row>
    <row r="87" spans="1:12" ht="15.75" customHeight="1">
      <c r="A87" s="748"/>
      <c r="B87" s="746"/>
      <c r="C87" s="746"/>
      <c r="D87" s="746"/>
      <c r="E87" s="749"/>
      <c r="F87" s="717"/>
      <c r="G87" s="717"/>
      <c r="H87" s="717"/>
      <c r="I87" s="403"/>
      <c r="J87" s="403"/>
      <c r="K87" s="717"/>
      <c r="L87" s="717"/>
    </row>
    <row r="88" spans="1:12" ht="14.25" customHeight="1">
      <c r="A88" s="750"/>
      <c r="B88" s="747"/>
      <c r="C88" s="747"/>
      <c r="D88" s="747"/>
      <c r="E88" s="751"/>
      <c r="F88" s="717"/>
      <c r="G88" s="717"/>
      <c r="H88" s="717"/>
      <c r="I88" s="403"/>
      <c r="J88" s="403"/>
      <c r="K88" s="717"/>
      <c r="L88" s="717"/>
    </row>
    <row r="89" spans="1:12" ht="28.5" customHeight="1">
      <c r="A89" s="1457" t="s">
        <v>569</v>
      </c>
      <c r="B89" s="1458"/>
      <c r="C89" s="1458"/>
      <c r="D89" s="1458"/>
      <c r="E89" s="1459"/>
      <c r="F89" s="717"/>
      <c r="G89" s="717"/>
      <c r="H89" s="717"/>
      <c r="I89" s="403"/>
      <c r="J89" s="403"/>
      <c r="K89" s="717"/>
      <c r="L89" s="717"/>
    </row>
    <row r="90" spans="1:12" ht="15.75">
      <c r="A90" s="750"/>
      <c r="B90" s="747"/>
      <c r="C90" s="747"/>
      <c r="D90" s="747"/>
      <c r="E90" s="751"/>
      <c r="F90" s="401"/>
      <c r="G90" s="401"/>
      <c r="H90" s="401"/>
      <c r="I90" s="403"/>
      <c r="J90" s="403"/>
      <c r="K90" s="717"/>
      <c r="L90" s="717"/>
    </row>
    <row r="91" spans="1:12" ht="15.75">
      <c r="A91" s="726"/>
      <c r="B91" s="401"/>
      <c r="C91" s="401"/>
      <c r="D91" s="401"/>
      <c r="E91" s="402"/>
      <c r="F91" s="401"/>
      <c r="G91" s="401"/>
      <c r="H91" s="401"/>
      <c r="I91" s="403"/>
      <c r="J91" s="403"/>
      <c r="K91" s="717"/>
      <c r="L91" s="717"/>
    </row>
    <row r="92" spans="1:12" ht="15.75">
      <c r="A92" s="726"/>
      <c r="B92" s="401"/>
      <c r="C92" s="401"/>
      <c r="D92" s="401"/>
      <c r="E92" s="402"/>
      <c r="F92" s="403"/>
      <c r="G92" s="403"/>
      <c r="H92" s="403"/>
      <c r="I92" s="403"/>
      <c r="J92" s="403"/>
      <c r="K92" s="717"/>
      <c r="L92" s="717"/>
    </row>
    <row r="93" spans="1:12" ht="15.75">
      <c r="A93" s="752"/>
      <c r="B93" s="753"/>
      <c r="C93" s="753"/>
      <c r="D93" s="753"/>
      <c r="E93" s="402"/>
      <c r="F93" s="403"/>
      <c r="G93" s="403"/>
      <c r="H93" s="403"/>
      <c r="I93" s="403"/>
      <c r="J93" s="403"/>
      <c r="K93" s="717"/>
      <c r="L93" s="717"/>
    </row>
    <row r="94" spans="1:12" ht="15.75">
      <c r="A94" s="726"/>
      <c r="B94" s="401"/>
      <c r="C94" s="401"/>
      <c r="D94" s="401"/>
      <c r="E94" s="402"/>
      <c r="F94" s="403"/>
      <c r="G94" s="403"/>
      <c r="H94" s="403"/>
      <c r="I94" s="403"/>
      <c r="J94" s="403"/>
      <c r="K94" s="717"/>
      <c r="L94" s="717"/>
    </row>
    <row r="95" spans="1:12" ht="15.75">
      <c r="A95" s="726"/>
      <c r="B95" s="401"/>
      <c r="C95" s="401"/>
      <c r="D95" s="401"/>
      <c r="E95" s="402"/>
      <c r="F95" s="403"/>
      <c r="G95" s="403"/>
      <c r="H95" s="403"/>
      <c r="I95" s="403"/>
      <c r="J95" s="403"/>
      <c r="K95" s="717"/>
      <c r="L95" s="717"/>
    </row>
    <row r="96" spans="1:12" ht="15.75">
      <c r="A96" s="726"/>
      <c r="B96" s="401"/>
      <c r="C96" s="401"/>
      <c r="D96" s="401"/>
      <c r="E96" s="402"/>
      <c r="F96" s="403"/>
      <c r="G96" s="403"/>
      <c r="H96" s="403"/>
      <c r="I96" s="403"/>
      <c r="J96" s="403"/>
      <c r="K96" s="717"/>
      <c r="L96" s="717"/>
    </row>
    <row r="97" spans="1:12" ht="15.75">
      <c r="A97" s="726"/>
      <c r="B97" s="401"/>
      <c r="C97" s="401"/>
      <c r="D97" s="401"/>
      <c r="E97" s="402"/>
      <c r="F97" s="466"/>
      <c r="G97" s="403"/>
      <c r="H97" s="403"/>
      <c r="I97" s="403"/>
      <c r="J97" s="403"/>
      <c r="K97" s="717"/>
      <c r="L97" s="717"/>
    </row>
    <row r="98" spans="1:12" ht="15.75">
      <c r="A98" s="726"/>
      <c r="B98" s="401"/>
      <c r="C98" s="401"/>
      <c r="D98" s="401"/>
      <c r="E98" s="725"/>
      <c r="F98" s="717"/>
      <c r="G98" s="717"/>
      <c r="H98" s="717"/>
      <c r="I98" s="403"/>
      <c r="J98" s="403"/>
      <c r="K98" s="717"/>
      <c r="L98" s="717"/>
    </row>
    <row r="99" spans="1:12" ht="15.75">
      <c r="A99" s="726"/>
      <c r="B99" s="401"/>
      <c r="C99" s="401"/>
      <c r="D99" s="401"/>
      <c r="E99" s="725"/>
      <c r="F99" s="717"/>
      <c r="G99" s="717"/>
      <c r="H99" s="717"/>
      <c r="I99" s="403"/>
      <c r="J99" s="403"/>
      <c r="K99" s="717"/>
      <c r="L99" s="717"/>
    </row>
    <row r="100" spans="1:12" ht="15.75">
      <c r="A100" s="726"/>
      <c r="B100" s="401"/>
      <c r="C100" s="401"/>
      <c r="D100" s="401"/>
      <c r="E100" s="725"/>
      <c r="F100" s="717"/>
      <c r="G100" s="717"/>
      <c r="H100" s="717"/>
      <c r="I100" s="403"/>
      <c r="J100" s="403"/>
      <c r="K100" s="717"/>
      <c r="L100" s="717"/>
    </row>
    <row r="101" spans="1:12" ht="15.75">
      <c r="A101" s="726"/>
      <c r="B101" s="401"/>
      <c r="C101" s="401"/>
      <c r="D101" s="401"/>
      <c r="E101" s="725"/>
      <c r="F101" s="717"/>
      <c r="G101" s="717"/>
      <c r="H101" s="717"/>
      <c r="I101" s="403"/>
      <c r="J101" s="403"/>
      <c r="K101" s="717"/>
      <c r="L101" s="717"/>
    </row>
    <row r="102" spans="1:12" ht="15.75">
      <c r="A102" s="726"/>
      <c r="B102" s="401"/>
      <c r="C102" s="401"/>
      <c r="D102" s="401"/>
      <c r="E102" s="725"/>
      <c r="F102" s="717"/>
      <c r="G102" s="717"/>
      <c r="H102" s="717"/>
      <c r="I102" s="403"/>
      <c r="J102" s="403"/>
      <c r="K102" s="717"/>
      <c r="L102" s="717"/>
    </row>
    <row r="103" spans="1:12" ht="15.75">
      <c r="A103" s="726"/>
      <c r="B103" s="401"/>
      <c r="C103" s="401"/>
      <c r="D103" s="401"/>
      <c r="E103" s="725"/>
      <c r="F103" s="717"/>
      <c r="G103" s="717"/>
      <c r="H103" s="717"/>
      <c r="I103" s="403"/>
      <c r="J103" s="403"/>
      <c r="K103" s="717"/>
      <c r="L103" s="717"/>
    </row>
    <row r="104" spans="1:12" ht="15.75">
      <c r="A104" s="726"/>
      <c r="B104" s="401"/>
      <c r="C104" s="401"/>
      <c r="D104" s="401"/>
      <c r="E104" s="725"/>
      <c r="F104" s="717"/>
      <c r="G104" s="717"/>
      <c r="H104" s="717"/>
      <c r="I104" s="403"/>
      <c r="J104" s="403"/>
      <c r="K104" s="717"/>
      <c r="L104" s="717"/>
    </row>
    <row r="105" spans="1:12" ht="15.75">
      <c r="A105" s="726"/>
      <c r="B105" s="401"/>
      <c r="C105" s="401"/>
      <c r="D105" s="401"/>
      <c r="E105" s="725"/>
      <c r="F105" s="717"/>
      <c r="G105" s="717"/>
      <c r="H105" s="717"/>
      <c r="I105" s="403"/>
      <c r="J105" s="403"/>
      <c r="K105" s="717"/>
      <c r="L105" s="717"/>
    </row>
    <row r="106" spans="1:12" ht="15.75">
      <c r="A106" s="726"/>
      <c r="B106" s="401"/>
      <c r="C106" s="401"/>
      <c r="D106" s="401"/>
      <c r="E106" s="725"/>
      <c r="F106" s="717"/>
      <c r="G106" s="717"/>
      <c r="H106" s="717"/>
      <c r="I106" s="403"/>
      <c r="J106" s="403"/>
      <c r="K106" s="717"/>
      <c r="L106" s="717"/>
    </row>
    <row r="107" spans="1:12" ht="15.75">
      <c r="A107" s="726"/>
      <c r="B107" s="401"/>
      <c r="C107" s="401"/>
      <c r="D107" s="401"/>
      <c r="E107" s="725"/>
      <c r="F107" s="717"/>
      <c r="G107" s="717"/>
      <c r="H107" s="717"/>
      <c r="I107" s="403"/>
      <c r="J107" s="403"/>
      <c r="K107" s="717"/>
      <c r="L107" s="717"/>
    </row>
    <row r="108" spans="1:12" ht="15.75" customHeight="1">
      <c r="A108" s="1463" t="s">
        <v>568</v>
      </c>
      <c r="B108" s="1458"/>
      <c r="C108" s="1458"/>
      <c r="D108" s="1458"/>
      <c r="E108" s="1459"/>
      <c r="F108" s="717"/>
      <c r="G108" s="717"/>
      <c r="H108" s="717"/>
      <c r="I108" s="403"/>
      <c r="J108" s="403"/>
      <c r="K108" s="717"/>
      <c r="L108" s="717"/>
    </row>
    <row r="109" spans="1:12" ht="15.75">
      <c r="A109" s="750"/>
      <c r="B109" s="747"/>
      <c r="C109" s="747"/>
      <c r="D109" s="747"/>
      <c r="E109" s="725"/>
      <c r="F109" s="753"/>
      <c r="G109" s="753"/>
      <c r="H109" s="753"/>
      <c r="I109" s="401"/>
      <c r="J109" s="401"/>
      <c r="K109" s="753"/>
      <c r="L109" s="753"/>
    </row>
    <row r="110" spans="1:12" ht="15.75">
      <c r="A110" s="750"/>
      <c r="B110" s="747"/>
      <c r="C110" s="747"/>
      <c r="D110" s="747"/>
      <c r="E110" s="402"/>
      <c r="F110" s="401"/>
      <c r="G110" s="401"/>
      <c r="H110" s="401"/>
      <c r="I110" s="401"/>
      <c r="J110" s="401"/>
      <c r="K110" s="753"/>
      <c r="L110" s="753"/>
    </row>
    <row r="111" spans="1:12" ht="15.75">
      <c r="A111" s="750"/>
      <c r="B111" s="747"/>
      <c r="C111" s="747"/>
      <c r="D111" s="747"/>
      <c r="E111" s="402"/>
      <c r="F111" s="401"/>
      <c r="G111" s="401"/>
      <c r="H111" s="401"/>
      <c r="I111" s="401"/>
      <c r="J111" s="401"/>
      <c r="K111" s="753"/>
      <c r="L111" s="753"/>
    </row>
    <row r="112" spans="1:12" ht="15.75">
      <c r="A112" s="726"/>
      <c r="B112" s="401"/>
      <c r="C112" s="401"/>
      <c r="D112" s="401"/>
      <c r="E112" s="402"/>
      <c r="F112" s="401"/>
      <c r="G112" s="401"/>
      <c r="H112" s="401"/>
      <c r="I112" s="401"/>
      <c r="J112" s="401"/>
      <c r="K112" s="753"/>
      <c r="L112" s="753"/>
    </row>
    <row r="113" spans="1:12" ht="15.75">
      <c r="A113" s="726"/>
      <c r="B113" s="401"/>
      <c r="C113" s="401"/>
      <c r="D113" s="401"/>
      <c r="E113" s="402"/>
      <c r="F113" s="401"/>
      <c r="G113" s="401"/>
      <c r="H113" s="401"/>
      <c r="I113" s="401"/>
      <c r="J113" s="401"/>
      <c r="K113" s="753"/>
      <c r="L113" s="753"/>
    </row>
    <row r="114" spans="1:12" ht="15.75">
      <c r="A114" s="726"/>
      <c r="B114" s="401"/>
      <c r="C114" s="401"/>
      <c r="D114" s="401"/>
      <c r="E114" s="402"/>
      <c r="F114" s="401"/>
      <c r="G114" s="401"/>
      <c r="H114" s="401"/>
      <c r="I114" s="401"/>
      <c r="J114" s="401"/>
      <c r="K114" s="753"/>
      <c r="L114" s="753"/>
    </row>
    <row r="115" spans="1:12">
      <c r="A115" s="752"/>
      <c r="B115" s="753"/>
      <c r="C115" s="753"/>
      <c r="D115" s="753"/>
      <c r="E115" s="725"/>
      <c r="F115" s="753"/>
      <c r="G115" s="753"/>
      <c r="H115" s="753"/>
      <c r="I115" s="753"/>
      <c r="J115" s="753"/>
      <c r="K115" s="753"/>
      <c r="L115" s="753"/>
    </row>
    <row r="116" spans="1:12">
      <c r="A116" s="752"/>
      <c r="B116" s="753"/>
      <c r="C116" s="753"/>
      <c r="D116" s="753"/>
      <c r="E116" s="725"/>
      <c r="F116" s="753"/>
      <c r="G116" s="753"/>
      <c r="H116" s="753"/>
      <c r="I116" s="753"/>
      <c r="J116" s="753"/>
      <c r="K116" s="753"/>
      <c r="L116" s="753"/>
    </row>
    <row r="117" spans="1:12">
      <c r="A117" s="752"/>
      <c r="B117" s="753"/>
      <c r="C117" s="753"/>
      <c r="D117" s="753"/>
      <c r="E117" s="725"/>
      <c r="F117" s="753"/>
      <c r="G117" s="753"/>
      <c r="H117" s="753"/>
      <c r="I117" s="753"/>
      <c r="J117" s="753"/>
      <c r="K117" s="753"/>
      <c r="L117" s="753"/>
    </row>
    <row r="118" spans="1:12">
      <c r="A118" s="752"/>
      <c r="B118" s="753"/>
      <c r="C118" s="753"/>
      <c r="D118" s="753"/>
      <c r="E118" s="725"/>
      <c r="F118" s="753"/>
      <c r="G118" s="753"/>
      <c r="H118" s="753"/>
      <c r="I118" s="753"/>
      <c r="J118" s="753"/>
      <c r="K118" s="753"/>
      <c r="L118" s="753"/>
    </row>
    <row r="119" spans="1:12">
      <c r="A119" s="752"/>
      <c r="B119" s="753"/>
      <c r="C119" s="753"/>
      <c r="D119" s="753"/>
      <c r="E119" s="725"/>
      <c r="F119" s="753"/>
      <c r="G119" s="753"/>
      <c r="H119" s="753"/>
      <c r="I119" s="753"/>
      <c r="J119" s="753"/>
      <c r="K119" s="753"/>
      <c r="L119" s="753"/>
    </row>
    <row r="120" spans="1:12">
      <c r="A120" s="752"/>
      <c r="B120" s="753"/>
      <c r="C120" s="753"/>
      <c r="D120" s="753"/>
      <c r="E120" s="725"/>
      <c r="F120" s="753"/>
      <c r="G120" s="753"/>
      <c r="H120" s="753"/>
      <c r="I120" s="753"/>
      <c r="J120" s="753"/>
      <c r="K120" s="753"/>
      <c r="L120" s="753"/>
    </row>
    <row r="121" spans="1:12">
      <c r="A121" s="752"/>
      <c r="B121" s="753"/>
      <c r="C121" s="753"/>
      <c r="D121" s="753"/>
      <c r="E121" s="725"/>
      <c r="F121" s="753"/>
      <c r="G121" s="753"/>
      <c r="H121" s="753"/>
      <c r="I121" s="753"/>
      <c r="J121" s="753"/>
      <c r="K121" s="753"/>
      <c r="L121" s="753"/>
    </row>
    <row r="122" spans="1:12">
      <c r="A122" s="752"/>
      <c r="B122" s="753"/>
      <c r="C122" s="753"/>
      <c r="D122" s="753"/>
      <c r="E122" s="725"/>
      <c r="F122" s="753"/>
      <c r="G122" s="753"/>
      <c r="H122" s="753"/>
      <c r="I122" s="753"/>
      <c r="J122" s="753"/>
      <c r="K122" s="753"/>
      <c r="L122" s="753"/>
    </row>
    <row r="123" spans="1:12">
      <c r="A123" s="752"/>
      <c r="B123" s="753"/>
      <c r="C123" s="753"/>
      <c r="D123" s="753"/>
      <c r="E123" s="725"/>
      <c r="F123" s="753"/>
      <c r="G123" s="753"/>
      <c r="H123" s="753"/>
      <c r="I123" s="753"/>
      <c r="J123" s="753"/>
      <c r="K123" s="753"/>
      <c r="L123" s="753"/>
    </row>
    <row r="124" spans="1:12">
      <c r="A124" s="752"/>
      <c r="B124" s="753"/>
      <c r="C124" s="753"/>
      <c r="D124" s="753"/>
      <c r="E124" s="725"/>
      <c r="F124" s="753"/>
      <c r="G124" s="753"/>
      <c r="H124" s="753"/>
      <c r="I124" s="753"/>
      <c r="J124" s="753"/>
      <c r="K124" s="753"/>
      <c r="L124" s="753"/>
    </row>
    <row r="125" spans="1:12" ht="15" thickBot="1">
      <c r="A125" s="755"/>
      <c r="B125" s="754"/>
      <c r="C125" s="754"/>
      <c r="D125" s="754"/>
      <c r="E125" s="728"/>
      <c r="F125" s="753"/>
      <c r="G125" s="753"/>
      <c r="H125" s="753"/>
      <c r="I125" s="753"/>
      <c r="J125" s="753"/>
      <c r="K125" s="753"/>
      <c r="L125" s="753"/>
    </row>
    <row r="126" spans="1:12" s="714" customFormat="1" ht="15" thickBot="1">
      <c r="A126" s="753"/>
      <c r="B126" s="753"/>
      <c r="C126" s="753"/>
      <c r="D126" s="753"/>
      <c r="E126" s="753"/>
      <c r="F126" s="753"/>
      <c r="G126" s="753"/>
      <c r="H126" s="753"/>
      <c r="I126" s="753"/>
      <c r="J126" s="753"/>
      <c r="K126" s="753"/>
      <c r="L126" s="753"/>
    </row>
    <row r="127" spans="1:12" ht="16.5" thickBot="1">
      <c r="A127" s="1460" t="s">
        <v>668</v>
      </c>
      <c r="B127" s="1461"/>
      <c r="C127" s="1461"/>
      <c r="D127" s="1461"/>
      <c r="E127" s="1462"/>
      <c r="F127" s="753"/>
      <c r="G127" s="753"/>
      <c r="H127" s="753"/>
      <c r="I127" s="753"/>
      <c r="J127" s="753"/>
      <c r="K127" s="753"/>
      <c r="L127" s="753"/>
    </row>
    <row r="128" spans="1:12">
      <c r="A128" s="756"/>
      <c r="B128" s="757"/>
      <c r="C128" s="757"/>
      <c r="D128" s="757"/>
      <c r="E128" s="758"/>
      <c r="F128" s="753"/>
      <c r="G128" s="753"/>
      <c r="H128" s="753"/>
      <c r="I128" s="753"/>
      <c r="J128" s="753"/>
      <c r="K128" s="753"/>
      <c r="L128" s="717"/>
    </row>
    <row r="129" spans="1:12">
      <c r="A129" s="1466" t="s">
        <v>565</v>
      </c>
      <c r="B129" s="1467"/>
      <c r="C129" s="1467"/>
      <c r="D129" s="1467"/>
      <c r="E129" s="1468"/>
      <c r="F129" s="753"/>
      <c r="G129" s="753"/>
      <c r="H129" s="753"/>
      <c r="I129" s="753"/>
      <c r="J129" s="753"/>
      <c r="K129" s="753"/>
      <c r="L129" s="717"/>
    </row>
    <row r="130" spans="1:12">
      <c r="A130" s="752"/>
      <c r="B130" s="753"/>
      <c r="C130" s="753"/>
      <c r="D130" s="753"/>
      <c r="E130" s="725"/>
      <c r="F130" s="753"/>
      <c r="G130" s="753"/>
      <c r="H130" s="753"/>
      <c r="I130" s="753"/>
      <c r="J130" s="753"/>
      <c r="K130" s="753"/>
      <c r="L130" s="717"/>
    </row>
    <row r="131" spans="1:12">
      <c r="A131" s="752"/>
      <c r="B131" s="753"/>
      <c r="C131" s="753"/>
      <c r="D131" s="753"/>
      <c r="E131" s="725"/>
      <c r="F131" s="753"/>
      <c r="G131" s="753"/>
      <c r="H131" s="753"/>
      <c r="I131" s="753"/>
      <c r="J131" s="753"/>
      <c r="K131" s="753"/>
      <c r="L131" s="717"/>
    </row>
    <row r="132" spans="1:12">
      <c r="A132" s="752"/>
      <c r="B132" s="753"/>
      <c r="C132" s="753"/>
      <c r="D132" s="753"/>
      <c r="E132" s="725"/>
      <c r="F132" s="753"/>
      <c r="G132" s="753"/>
      <c r="H132" s="753"/>
      <c r="I132" s="753"/>
      <c r="J132" s="753"/>
      <c r="K132" s="753"/>
      <c r="L132" s="717"/>
    </row>
    <row r="133" spans="1:12">
      <c r="A133" s="752"/>
      <c r="B133" s="753"/>
      <c r="C133" s="753"/>
      <c r="D133" s="753"/>
      <c r="E133" s="725"/>
      <c r="F133" s="753"/>
      <c r="G133" s="753"/>
      <c r="H133" s="753"/>
      <c r="I133" s="753"/>
      <c r="J133" s="753"/>
      <c r="K133" s="753"/>
      <c r="L133" s="717"/>
    </row>
    <row r="134" spans="1:12">
      <c r="A134" s="752"/>
      <c r="B134" s="753"/>
      <c r="C134" s="753"/>
      <c r="D134" s="753"/>
      <c r="E134" s="725"/>
      <c r="F134" s="753"/>
      <c r="G134" s="753"/>
      <c r="H134" s="753"/>
      <c r="I134" s="753"/>
      <c r="J134" s="753"/>
      <c r="K134" s="753"/>
      <c r="L134" s="717"/>
    </row>
    <row r="135" spans="1:12">
      <c r="A135" s="752"/>
      <c r="B135" s="753"/>
      <c r="C135" s="753"/>
      <c r="D135" s="753"/>
      <c r="E135" s="725"/>
      <c r="F135" s="753"/>
      <c r="G135" s="753"/>
      <c r="H135" s="753"/>
      <c r="I135" s="753"/>
      <c r="J135" s="753"/>
      <c r="K135" s="753"/>
      <c r="L135" s="717"/>
    </row>
    <row r="136" spans="1:12">
      <c r="A136" s="752"/>
      <c r="B136" s="753"/>
      <c r="C136" s="753"/>
      <c r="D136" s="753"/>
      <c r="E136" s="725"/>
      <c r="F136" s="753"/>
      <c r="G136" s="753"/>
      <c r="H136" s="753"/>
      <c r="I136" s="753"/>
      <c r="J136" s="753"/>
      <c r="K136" s="753"/>
      <c r="L136" s="717"/>
    </row>
    <row r="137" spans="1:12">
      <c r="A137" s="752"/>
      <c r="B137" s="753"/>
      <c r="C137" s="753"/>
      <c r="D137" s="753"/>
      <c r="E137" s="725"/>
      <c r="F137" s="753"/>
      <c r="G137" s="753"/>
      <c r="H137" s="753"/>
      <c r="I137" s="753"/>
      <c r="J137" s="753"/>
      <c r="K137" s="753"/>
      <c r="L137" s="717"/>
    </row>
    <row r="138" spans="1:12">
      <c r="A138" s="752"/>
      <c r="B138" s="753"/>
      <c r="C138" s="753"/>
      <c r="D138" s="753"/>
      <c r="E138" s="725"/>
      <c r="F138" s="753"/>
      <c r="G138" s="753"/>
      <c r="H138" s="753"/>
      <c r="I138" s="753"/>
      <c r="J138" s="753"/>
      <c r="K138" s="753"/>
      <c r="L138" s="717"/>
    </row>
    <row r="139" spans="1:12">
      <c r="A139" s="752"/>
      <c r="B139" s="753"/>
      <c r="C139" s="753"/>
      <c r="D139" s="753"/>
      <c r="E139" s="725"/>
      <c r="F139" s="753"/>
      <c r="G139" s="753"/>
      <c r="H139" s="753"/>
      <c r="I139" s="753"/>
      <c r="J139" s="753"/>
      <c r="K139" s="753"/>
      <c r="L139" s="717"/>
    </row>
    <row r="140" spans="1:12">
      <c r="A140" s="752"/>
      <c r="B140" s="753"/>
      <c r="C140" s="753"/>
      <c r="D140" s="753"/>
      <c r="E140" s="725"/>
      <c r="F140" s="753"/>
      <c r="G140" s="753"/>
      <c r="H140" s="753"/>
      <c r="I140" s="753"/>
      <c r="J140" s="753"/>
      <c r="K140" s="753"/>
      <c r="L140" s="717"/>
    </row>
    <row r="141" spans="1:12">
      <c r="A141" s="752"/>
      <c r="B141" s="753"/>
      <c r="C141" s="753"/>
      <c r="D141" s="753"/>
      <c r="E141" s="759"/>
      <c r="F141" s="760"/>
      <c r="G141" s="760"/>
      <c r="H141" s="760"/>
      <c r="I141" s="753"/>
      <c r="J141" s="753"/>
      <c r="K141" s="753"/>
      <c r="L141" s="717"/>
    </row>
    <row r="142" spans="1:12">
      <c r="A142" s="752"/>
      <c r="B142" s="753"/>
      <c r="C142" s="753"/>
      <c r="D142" s="753"/>
      <c r="E142" s="759"/>
      <c r="F142" s="760"/>
      <c r="G142" s="760"/>
      <c r="H142" s="760"/>
      <c r="I142" s="753"/>
      <c r="J142" s="753"/>
      <c r="K142" s="753"/>
      <c r="L142" s="717"/>
    </row>
    <row r="143" spans="1:12">
      <c r="A143" s="752"/>
      <c r="B143" s="753"/>
      <c r="C143" s="753"/>
      <c r="D143" s="753"/>
      <c r="E143" s="759"/>
      <c r="F143" s="760"/>
      <c r="G143" s="760"/>
      <c r="H143" s="760"/>
      <c r="I143" s="753"/>
      <c r="J143" s="753"/>
      <c r="K143" s="753"/>
      <c r="L143" s="717"/>
    </row>
    <row r="144" spans="1:12">
      <c r="A144" s="752"/>
      <c r="B144" s="753"/>
      <c r="C144" s="753"/>
      <c r="D144" s="753"/>
      <c r="E144" s="725"/>
      <c r="F144" s="753"/>
      <c r="G144" s="753"/>
      <c r="H144" s="753"/>
      <c r="I144" s="753"/>
      <c r="J144" s="753"/>
      <c r="K144" s="753"/>
      <c r="L144" s="717"/>
    </row>
    <row r="145" spans="1:12">
      <c r="A145" s="752"/>
      <c r="B145" s="753"/>
      <c r="C145" s="753"/>
      <c r="D145" s="753"/>
      <c r="E145" s="725"/>
      <c r="F145" s="753"/>
      <c r="G145" s="753"/>
      <c r="H145" s="753"/>
      <c r="I145" s="753"/>
      <c r="J145" s="753"/>
      <c r="K145" s="753"/>
      <c r="L145" s="717"/>
    </row>
    <row r="146" spans="1:12">
      <c r="A146" s="752"/>
      <c r="B146" s="753"/>
      <c r="C146" s="753"/>
      <c r="D146" s="753"/>
      <c r="E146" s="725"/>
      <c r="F146" s="753"/>
      <c r="G146" s="753"/>
      <c r="H146" s="753"/>
      <c r="I146" s="753"/>
      <c r="J146" s="753"/>
      <c r="K146" s="753"/>
      <c r="L146" s="717"/>
    </row>
    <row r="147" spans="1:12">
      <c r="A147" s="752"/>
      <c r="B147" s="753"/>
      <c r="C147" s="753"/>
      <c r="D147" s="753"/>
      <c r="E147" s="725"/>
      <c r="F147" s="753"/>
      <c r="G147" s="753"/>
      <c r="H147" s="753"/>
      <c r="I147" s="753"/>
      <c r="J147" s="753"/>
      <c r="K147" s="753"/>
      <c r="L147" s="717"/>
    </row>
    <row r="148" spans="1:12">
      <c r="A148" s="752"/>
      <c r="B148" s="753"/>
      <c r="C148" s="753"/>
      <c r="D148" s="753"/>
      <c r="E148" s="725"/>
      <c r="F148" s="753"/>
      <c r="G148" s="753"/>
      <c r="H148" s="753"/>
      <c r="I148" s="753"/>
      <c r="J148" s="753"/>
      <c r="K148" s="753"/>
      <c r="L148" s="717"/>
    </row>
    <row r="149" spans="1:12">
      <c r="A149" s="752"/>
      <c r="B149" s="753"/>
      <c r="C149" s="753"/>
      <c r="D149" s="753"/>
      <c r="E149" s="725"/>
      <c r="F149" s="753"/>
      <c r="G149" s="753"/>
      <c r="H149" s="753"/>
      <c r="I149" s="753"/>
      <c r="J149" s="753"/>
      <c r="K149" s="753"/>
      <c r="L149" s="717"/>
    </row>
    <row r="150" spans="1:12">
      <c r="A150" s="752"/>
      <c r="B150" s="753"/>
      <c r="C150" s="753"/>
      <c r="D150" s="753"/>
      <c r="E150" s="725"/>
      <c r="F150" s="753"/>
      <c r="G150" s="753"/>
      <c r="H150" s="753"/>
      <c r="I150" s="753"/>
      <c r="J150" s="753"/>
      <c r="K150" s="753"/>
      <c r="L150" s="717"/>
    </row>
    <row r="151" spans="1:12">
      <c r="A151" s="1522" t="s">
        <v>566</v>
      </c>
      <c r="B151" s="1523"/>
      <c r="C151" s="1523"/>
      <c r="D151" s="1523"/>
      <c r="E151" s="1524"/>
      <c r="F151" s="753"/>
      <c r="G151" s="753"/>
      <c r="H151" s="753"/>
      <c r="I151" s="753"/>
      <c r="J151" s="753"/>
      <c r="K151" s="753"/>
      <c r="L151" s="717"/>
    </row>
    <row r="152" spans="1:12">
      <c r="A152" s="1522"/>
      <c r="B152" s="1523"/>
      <c r="C152" s="1523"/>
      <c r="D152" s="1523"/>
      <c r="E152" s="1524"/>
      <c r="F152" s="753"/>
      <c r="G152" s="753"/>
      <c r="H152" s="753"/>
      <c r="I152" s="753"/>
      <c r="J152" s="753"/>
      <c r="K152" s="753"/>
      <c r="L152" s="717"/>
    </row>
    <row r="153" spans="1:12">
      <c r="A153" s="1522"/>
      <c r="B153" s="1523"/>
      <c r="C153" s="1523"/>
      <c r="D153" s="1523"/>
      <c r="E153" s="1524"/>
      <c r="F153" s="753"/>
      <c r="G153" s="753"/>
      <c r="H153" s="753"/>
      <c r="I153" s="753"/>
      <c r="J153" s="753"/>
      <c r="K153" s="753"/>
      <c r="L153" s="717"/>
    </row>
    <row r="154" spans="1:12">
      <c r="A154" s="752"/>
      <c r="B154" s="753"/>
      <c r="C154" s="753"/>
      <c r="D154" s="753"/>
      <c r="E154" s="725"/>
      <c r="F154" s="753"/>
      <c r="G154" s="753"/>
      <c r="H154" s="753"/>
      <c r="I154" s="753"/>
      <c r="J154" s="753"/>
      <c r="K154" s="753"/>
      <c r="L154" s="717"/>
    </row>
    <row r="155" spans="1:12">
      <c r="A155" s="752"/>
      <c r="B155" s="753"/>
      <c r="C155" s="753"/>
      <c r="D155" s="753"/>
      <c r="E155" s="725"/>
      <c r="F155" s="753"/>
      <c r="G155" s="753"/>
      <c r="H155" s="753"/>
      <c r="I155" s="753"/>
      <c r="J155" s="753"/>
      <c r="K155" s="753"/>
      <c r="L155" s="717"/>
    </row>
    <row r="156" spans="1:12">
      <c r="A156" s="752"/>
      <c r="B156" s="753"/>
      <c r="C156" s="753"/>
      <c r="D156" s="753"/>
      <c r="E156" s="725"/>
      <c r="F156" s="753"/>
      <c r="G156" s="753"/>
      <c r="H156" s="753"/>
      <c r="I156" s="753"/>
      <c r="J156" s="753"/>
      <c r="K156" s="753"/>
      <c r="L156" s="717"/>
    </row>
    <row r="157" spans="1:12">
      <c r="A157" s="752"/>
      <c r="B157" s="753"/>
      <c r="C157" s="753"/>
      <c r="D157" s="753"/>
      <c r="E157" s="725"/>
      <c r="F157" s="753"/>
      <c r="G157" s="753"/>
      <c r="H157" s="753"/>
      <c r="I157" s="753"/>
      <c r="J157" s="753"/>
      <c r="K157" s="753"/>
      <c r="L157" s="717"/>
    </row>
    <row r="158" spans="1:12">
      <c r="A158" s="752"/>
      <c r="B158" s="753"/>
      <c r="C158" s="753"/>
      <c r="D158" s="753"/>
      <c r="E158" s="725"/>
      <c r="F158" s="753"/>
      <c r="G158" s="753"/>
      <c r="H158" s="753"/>
      <c r="I158" s="753"/>
      <c r="J158" s="753"/>
      <c r="K158" s="753"/>
      <c r="L158" s="717"/>
    </row>
    <row r="159" spans="1:12">
      <c r="A159" s="752"/>
      <c r="B159" s="753"/>
      <c r="C159" s="753"/>
      <c r="D159" s="753"/>
      <c r="E159" s="751"/>
      <c r="F159" s="747"/>
      <c r="G159" s="747"/>
      <c r="H159" s="747"/>
      <c r="I159" s="753"/>
      <c r="J159" s="753"/>
      <c r="K159" s="753"/>
      <c r="L159" s="717"/>
    </row>
    <row r="160" spans="1:12">
      <c r="A160" s="752"/>
      <c r="B160" s="753"/>
      <c r="C160" s="753"/>
      <c r="D160" s="753"/>
      <c r="E160" s="751"/>
      <c r="F160" s="747"/>
      <c r="G160" s="747"/>
      <c r="H160" s="747"/>
      <c r="I160" s="753"/>
      <c r="J160" s="753"/>
      <c r="K160" s="753"/>
      <c r="L160" s="717"/>
    </row>
    <row r="161" spans="1:12">
      <c r="A161" s="752"/>
      <c r="B161" s="753"/>
      <c r="C161" s="753"/>
      <c r="D161" s="753"/>
      <c r="E161" s="751"/>
      <c r="F161" s="747"/>
      <c r="G161" s="747"/>
      <c r="H161" s="747"/>
      <c r="I161" s="753"/>
      <c r="J161" s="753"/>
      <c r="K161" s="753"/>
      <c r="L161" s="717"/>
    </row>
    <row r="162" spans="1:12">
      <c r="A162" s="752"/>
      <c r="B162" s="753"/>
      <c r="C162" s="753"/>
      <c r="D162" s="753"/>
      <c r="E162" s="725"/>
      <c r="F162" s="753"/>
      <c r="G162" s="753"/>
      <c r="H162" s="753"/>
      <c r="I162" s="753"/>
      <c r="J162" s="753"/>
      <c r="K162" s="753"/>
      <c r="L162" s="717"/>
    </row>
    <row r="163" spans="1:12">
      <c r="A163" s="752"/>
      <c r="B163" s="753"/>
      <c r="C163" s="753"/>
      <c r="D163" s="753"/>
      <c r="E163" s="725"/>
      <c r="F163" s="753"/>
      <c r="G163" s="753"/>
      <c r="H163" s="753"/>
      <c r="I163" s="753"/>
      <c r="J163" s="753"/>
      <c r="K163" s="753"/>
      <c r="L163" s="717"/>
    </row>
    <row r="164" spans="1:12">
      <c r="A164" s="752"/>
      <c r="B164" s="753"/>
      <c r="C164" s="753"/>
      <c r="D164" s="753"/>
      <c r="E164" s="725"/>
      <c r="F164" s="753"/>
      <c r="G164" s="753"/>
      <c r="H164" s="753"/>
      <c r="I164" s="753"/>
      <c r="J164" s="753"/>
      <c r="K164" s="753"/>
      <c r="L164" s="717"/>
    </row>
    <row r="165" spans="1:12">
      <c r="A165" s="752"/>
      <c r="B165" s="753"/>
      <c r="C165" s="753"/>
      <c r="D165" s="753"/>
      <c r="E165" s="725"/>
      <c r="F165" s="753"/>
      <c r="G165" s="753"/>
      <c r="H165" s="753"/>
      <c r="I165" s="753"/>
      <c r="J165" s="753"/>
      <c r="K165" s="753"/>
      <c r="L165" s="717"/>
    </row>
    <row r="166" spans="1:12">
      <c r="A166" s="752"/>
      <c r="B166" s="753"/>
      <c r="C166" s="753"/>
      <c r="D166" s="753"/>
      <c r="E166" s="725"/>
      <c r="F166" s="753"/>
      <c r="G166" s="753"/>
      <c r="H166" s="753"/>
      <c r="I166" s="753"/>
      <c r="J166" s="753"/>
      <c r="K166" s="753"/>
      <c r="L166" s="717"/>
    </row>
    <row r="167" spans="1:12">
      <c r="A167" s="752"/>
      <c r="B167" s="753"/>
      <c r="C167" s="753"/>
      <c r="D167" s="753"/>
      <c r="E167" s="725"/>
      <c r="F167" s="753"/>
      <c r="G167" s="753"/>
      <c r="H167" s="753"/>
      <c r="I167" s="753"/>
      <c r="J167" s="753"/>
      <c r="K167" s="753"/>
      <c r="L167" s="717"/>
    </row>
    <row r="168" spans="1:12">
      <c r="A168" s="752"/>
      <c r="B168" s="753"/>
      <c r="C168" s="753"/>
      <c r="D168" s="753"/>
      <c r="E168" s="725"/>
      <c r="F168" s="753"/>
      <c r="G168" s="753"/>
      <c r="H168" s="753"/>
      <c r="I168" s="753"/>
      <c r="J168" s="753"/>
      <c r="K168" s="753"/>
      <c r="L168" s="717"/>
    </row>
    <row r="169" spans="1:12">
      <c r="A169" s="752"/>
      <c r="B169" s="753"/>
      <c r="C169" s="753"/>
      <c r="D169" s="753"/>
      <c r="E169" s="725"/>
      <c r="F169" s="753"/>
      <c r="G169" s="753"/>
      <c r="H169" s="753"/>
      <c r="I169" s="753"/>
      <c r="J169" s="753"/>
      <c r="K169" s="753"/>
      <c r="L169" s="717"/>
    </row>
    <row r="170" spans="1:12">
      <c r="A170" s="752"/>
      <c r="B170" s="753"/>
      <c r="C170" s="753"/>
      <c r="D170" s="753"/>
      <c r="E170" s="725"/>
      <c r="F170" s="753"/>
      <c r="G170" s="753"/>
      <c r="H170" s="753"/>
      <c r="I170" s="753"/>
      <c r="J170" s="753"/>
      <c r="K170" s="753"/>
      <c r="L170" s="717"/>
    </row>
    <row r="171" spans="1:12">
      <c r="A171" s="752"/>
      <c r="B171" s="753"/>
      <c r="C171" s="753"/>
      <c r="D171" s="753"/>
      <c r="E171" s="725"/>
      <c r="F171" s="753"/>
      <c r="G171" s="753"/>
      <c r="H171" s="753"/>
      <c r="I171" s="753"/>
      <c r="J171" s="753"/>
      <c r="K171" s="753"/>
      <c r="L171" s="717"/>
    </row>
    <row r="172" spans="1:12">
      <c r="A172" s="752"/>
      <c r="B172" s="753"/>
      <c r="C172" s="753"/>
      <c r="D172" s="753"/>
      <c r="E172" s="725"/>
      <c r="F172" s="753"/>
      <c r="G172" s="753"/>
      <c r="H172" s="753"/>
      <c r="I172" s="753"/>
      <c r="J172" s="753"/>
      <c r="K172" s="753"/>
      <c r="L172" s="717"/>
    </row>
    <row r="173" spans="1:12">
      <c r="A173" s="752"/>
      <c r="B173" s="753"/>
      <c r="C173" s="753"/>
      <c r="D173" s="753"/>
      <c r="E173" s="725"/>
      <c r="F173" s="753"/>
      <c r="G173" s="753"/>
      <c r="H173" s="753"/>
      <c r="I173" s="753"/>
      <c r="J173" s="753"/>
      <c r="K173" s="753"/>
      <c r="L173" s="717"/>
    </row>
    <row r="174" spans="1:12">
      <c r="A174" s="752"/>
      <c r="B174" s="753"/>
      <c r="C174" s="753"/>
      <c r="D174" s="753"/>
      <c r="E174" s="725"/>
      <c r="F174" s="753"/>
      <c r="G174" s="753"/>
      <c r="H174" s="753"/>
      <c r="I174" s="753"/>
      <c r="J174" s="753"/>
      <c r="K174" s="753"/>
      <c r="L174" s="717"/>
    </row>
    <row r="175" spans="1:12">
      <c r="A175" s="752"/>
      <c r="B175" s="753"/>
      <c r="C175" s="753"/>
      <c r="D175" s="753"/>
      <c r="E175" s="725"/>
      <c r="F175" s="753"/>
      <c r="G175" s="753"/>
      <c r="H175" s="753"/>
      <c r="I175" s="753"/>
      <c r="J175" s="753"/>
      <c r="K175" s="753"/>
      <c r="L175" s="717"/>
    </row>
    <row r="176" spans="1:12">
      <c r="A176" s="1525" t="s">
        <v>567</v>
      </c>
      <c r="B176" s="1526"/>
      <c r="C176" s="1526"/>
      <c r="D176" s="1526"/>
      <c r="E176" s="1527"/>
      <c r="F176" s="753"/>
      <c r="G176" s="753"/>
      <c r="H176" s="753"/>
      <c r="I176" s="753"/>
      <c r="J176" s="753"/>
      <c r="K176" s="753"/>
      <c r="L176" s="717"/>
    </row>
    <row r="177" spans="1:12">
      <c r="A177" s="1525"/>
      <c r="B177" s="1526"/>
      <c r="C177" s="1526"/>
      <c r="D177" s="1526"/>
      <c r="E177" s="1527"/>
      <c r="F177" s="753"/>
      <c r="G177" s="753"/>
      <c r="H177" s="753"/>
      <c r="I177" s="753"/>
      <c r="J177" s="753"/>
      <c r="K177" s="753"/>
      <c r="L177" s="717"/>
    </row>
    <row r="178" spans="1:12">
      <c r="A178" s="1525"/>
      <c r="B178" s="1526"/>
      <c r="C178" s="1526"/>
      <c r="D178" s="1526"/>
      <c r="E178" s="1527"/>
      <c r="F178" s="753"/>
      <c r="G178" s="753"/>
      <c r="H178" s="753"/>
      <c r="I178" s="753"/>
      <c r="J178" s="753"/>
      <c r="K178" s="753"/>
      <c r="L178" s="717"/>
    </row>
    <row r="179" spans="1:12">
      <c r="A179" s="752"/>
      <c r="B179" s="753"/>
      <c r="C179" s="753"/>
      <c r="D179" s="753"/>
      <c r="E179" s="725"/>
      <c r="F179" s="753"/>
      <c r="G179" s="753"/>
      <c r="H179" s="753"/>
      <c r="I179" s="753"/>
      <c r="J179" s="753"/>
      <c r="K179" s="753"/>
      <c r="L179" s="717"/>
    </row>
    <row r="180" spans="1:12">
      <c r="A180" s="752"/>
      <c r="B180" s="753"/>
      <c r="C180" s="753"/>
      <c r="D180" s="753"/>
      <c r="E180" s="751"/>
      <c r="F180" s="747"/>
      <c r="G180" s="747"/>
      <c r="H180" s="747"/>
      <c r="I180" s="753"/>
      <c r="J180" s="753"/>
      <c r="K180" s="753"/>
      <c r="L180" s="717"/>
    </row>
    <row r="181" spans="1:12">
      <c r="A181" s="752"/>
      <c r="B181" s="753"/>
      <c r="C181" s="753"/>
      <c r="D181" s="753"/>
      <c r="E181" s="751"/>
      <c r="F181" s="747"/>
      <c r="G181" s="747"/>
      <c r="H181" s="747"/>
      <c r="I181" s="753"/>
      <c r="J181" s="753"/>
      <c r="K181" s="753"/>
      <c r="L181" s="717"/>
    </row>
    <row r="182" spans="1:12" ht="30.75" customHeight="1">
      <c r="A182" s="752"/>
      <c r="B182" s="753"/>
      <c r="C182" s="753"/>
      <c r="D182" s="753"/>
      <c r="E182" s="751"/>
      <c r="F182" s="747"/>
      <c r="G182" s="747"/>
      <c r="H182" s="747"/>
      <c r="I182" s="753"/>
      <c r="J182" s="753"/>
      <c r="K182" s="753"/>
      <c r="L182" s="717"/>
    </row>
    <row r="183" spans="1:12">
      <c r="A183" s="752"/>
      <c r="B183" s="753"/>
      <c r="C183" s="753"/>
      <c r="D183" s="753"/>
      <c r="E183" s="725"/>
      <c r="F183" s="753"/>
      <c r="G183" s="753"/>
      <c r="H183" s="753"/>
      <c r="I183" s="753"/>
      <c r="J183" s="753"/>
      <c r="K183" s="753"/>
      <c r="L183" s="717"/>
    </row>
    <row r="184" spans="1:12">
      <c r="A184" s="752"/>
      <c r="B184" s="753"/>
      <c r="C184" s="753"/>
      <c r="D184" s="753"/>
      <c r="E184" s="725"/>
      <c r="F184" s="753"/>
      <c r="G184" s="753"/>
      <c r="H184" s="753"/>
      <c r="I184" s="753"/>
      <c r="J184" s="753"/>
      <c r="K184" s="753"/>
      <c r="L184" s="717"/>
    </row>
    <row r="185" spans="1:12">
      <c r="A185" s="752"/>
      <c r="B185" s="753"/>
      <c r="C185" s="753"/>
      <c r="D185" s="753"/>
      <c r="E185" s="725"/>
      <c r="F185" s="753"/>
      <c r="G185" s="753"/>
      <c r="H185" s="753"/>
      <c r="I185" s="753"/>
      <c r="J185" s="753"/>
      <c r="K185" s="753"/>
      <c r="L185" s="717"/>
    </row>
    <row r="186" spans="1:12">
      <c r="A186" s="752"/>
      <c r="B186" s="753"/>
      <c r="C186" s="753"/>
      <c r="D186" s="753"/>
      <c r="E186" s="725"/>
      <c r="F186" s="753"/>
      <c r="G186" s="753"/>
      <c r="H186" s="753"/>
      <c r="I186" s="753"/>
      <c r="J186" s="753"/>
      <c r="K186" s="753"/>
      <c r="L186" s="717"/>
    </row>
    <row r="187" spans="1:12">
      <c r="A187" s="752"/>
      <c r="B187" s="753"/>
      <c r="C187" s="753"/>
      <c r="D187" s="753"/>
      <c r="E187" s="725"/>
      <c r="F187" s="753"/>
      <c r="G187" s="753"/>
      <c r="H187" s="753"/>
      <c r="I187" s="753"/>
      <c r="J187" s="753"/>
      <c r="K187" s="753"/>
      <c r="L187" s="717"/>
    </row>
    <row r="188" spans="1:12">
      <c r="A188" s="752"/>
      <c r="B188" s="753"/>
      <c r="C188" s="753"/>
      <c r="D188" s="753"/>
      <c r="E188" s="725"/>
      <c r="F188" s="753"/>
      <c r="G188" s="753"/>
      <c r="H188" s="753"/>
      <c r="I188" s="753"/>
      <c r="J188" s="753"/>
      <c r="K188" s="753"/>
      <c r="L188" s="717"/>
    </row>
    <row r="189" spans="1:12">
      <c r="A189" s="752"/>
      <c r="B189" s="753"/>
      <c r="C189" s="753"/>
      <c r="D189" s="753"/>
      <c r="E189" s="725"/>
      <c r="F189" s="753"/>
      <c r="G189" s="753"/>
      <c r="H189" s="753"/>
      <c r="I189" s="753"/>
      <c r="J189" s="753"/>
      <c r="K189" s="753"/>
      <c r="L189" s="717"/>
    </row>
    <row r="190" spans="1:12">
      <c r="A190" s="752"/>
      <c r="B190" s="753"/>
      <c r="C190" s="753"/>
      <c r="D190" s="753"/>
      <c r="E190" s="725"/>
      <c r="F190" s="753"/>
      <c r="G190" s="753"/>
      <c r="H190" s="753"/>
      <c r="I190" s="753"/>
      <c r="J190" s="753"/>
      <c r="K190" s="753"/>
      <c r="L190" s="717"/>
    </row>
    <row r="191" spans="1:12">
      <c r="A191" s="752"/>
      <c r="B191" s="753"/>
      <c r="C191" s="753"/>
      <c r="D191" s="753"/>
      <c r="E191" s="725"/>
      <c r="F191" s="753"/>
      <c r="G191" s="753"/>
      <c r="H191" s="753"/>
      <c r="I191" s="753"/>
      <c r="J191" s="753"/>
      <c r="K191" s="753"/>
      <c r="L191" s="717"/>
    </row>
    <row r="192" spans="1:12">
      <c r="A192" s="752"/>
      <c r="B192" s="753"/>
      <c r="C192" s="753"/>
      <c r="D192" s="753"/>
      <c r="E192" s="725"/>
      <c r="F192" s="753"/>
      <c r="G192" s="753"/>
      <c r="H192" s="753"/>
      <c r="I192" s="753"/>
      <c r="J192" s="753"/>
      <c r="K192" s="753"/>
      <c r="L192" s="717"/>
    </row>
    <row r="193" spans="1:12">
      <c r="A193" s="752"/>
      <c r="B193" s="753"/>
      <c r="C193" s="753"/>
      <c r="D193" s="753"/>
      <c r="E193" s="725"/>
      <c r="F193" s="753"/>
      <c r="G193" s="753"/>
      <c r="H193" s="753"/>
      <c r="I193" s="753"/>
      <c r="J193" s="753"/>
      <c r="K193" s="753"/>
      <c r="L193" s="717"/>
    </row>
    <row r="194" spans="1:12">
      <c r="A194" s="752"/>
      <c r="B194" s="753"/>
      <c r="C194" s="753"/>
      <c r="D194" s="753"/>
      <c r="E194" s="725"/>
      <c r="F194" s="753"/>
      <c r="G194" s="753"/>
      <c r="H194" s="753"/>
      <c r="I194" s="753"/>
      <c r="J194" s="753"/>
      <c r="K194" s="753"/>
      <c r="L194" s="717"/>
    </row>
    <row r="195" spans="1:12">
      <c r="A195" s="752"/>
      <c r="B195" s="753"/>
      <c r="C195" s="753"/>
      <c r="D195" s="753"/>
      <c r="E195" s="725"/>
      <c r="F195" s="753"/>
      <c r="G195" s="753"/>
      <c r="H195" s="753"/>
      <c r="I195" s="753"/>
      <c r="J195" s="753"/>
      <c r="K195" s="753"/>
      <c r="L195" s="717"/>
    </row>
    <row r="196" spans="1:12">
      <c r="A196" s="752"/>
      <c r="B196" s="753"/>
      <c r="C196" s="753"/>
      <c r="D196" s="753"/>
      <c r="E196" s="725"/>
      <c r="F196" s="753"/>
      <c r="G196" s="753"/>
      <c r="H196" s="753"/>
      <c r="I196" s="753"/>
      <c r="J196" s="753"/>
      <c r="K196" s="753"/>
      <c r="L196" s="717"/>
    </row>
    <row r="197" spans="1:12">
      <c r="A197" s="752"/>
      <c r="B197" s="753"/>
      <c r="C197" s="753"/>
      <c r="D197" s="753"/>
      <c r="E197" s="751"/>
      <c r="F197" s="747"/>
      <c r="G197" s="747"/>
      <c r="H197" s="747"/>
      <c r="I197" s="753"/>
      <c r="J197" s="753"/>
      <c r="K197" s="753"/>
      <c r="L197" s="717"/>
    </row>
    <row r="198" spans="1:12">
      <c r="A198" s="752"/>
      <c r="B198" s="753"/>
      <c r="C198" s="753"/>
      <c r="D198" s="753"/>
      <c r="E198" s="751"/>
      <c r="F198" s="747"/>
      <c r="G198" s="747"/>
      <c r="H198" s="747"/>
      <c r="I198" s="753"/>
      <c r="J198" s="753"/>
      <c r="K198" s="753"/>
      <c r="L198" s="717"/>
    </row>
    <row r="199" spans="1:12">
      <c r="A199" s="752"/>
      <c r="B199" s="753"/>
      <c r="C199" s="753"/>
      <c r="D199" s="753"/>
      <c r="E199" s="751"/>
      <c r="F199" s="747"/>
      <c r="G199" s="747"/>
      <c r="H199" s="747"/>
      <c r="I199" s="753"/>
      <c r="J199" s="753"/>
      <c r="K199" s="753"/>
      <c r="L199" s="717"/>
    </row>
    <row r="200" spans="1:12">
      <c r="A200" s="752"/>
      <c r="B200" s="753"/>
      <c r="C200" s="753"/>
      <c r="D200" s="753"/>
      <c r="E200" s="725"/>
      <c r="F200" s="753"/>
      <c r="G200" s="753"/>
      <c r="H200" s="753"/>
      <c r="I200" s="753"/>
      <c r="J200" s="753"/>
      <c r="K200" s="753"/>
      <c r="L200" s="717"/>
    </row>
    <row r="201" spans="1:12" ht="15" thickBot="1">
      <c r="A201" s="752"/>
      <c r="B201" s="753"/>
      <c r="C201" s="753"/>
      <c r="D201" s="753"/>
      <c r="E201" s="725"/>
      <c r="F201" s="753"/>
      <c r="G201" s="753"/>
      <c r="H201" s="753"/>
      <c r="I201" s="753"/>
      <c r="J201" s="753"/>
      <c r="K201" s="753"/>
      <c r="L201" s="717"/>
    </row>
    <row r="202" spans="1:12">
      <c r="A202" s="752"/>
      <c r="B202" s="1473" t="s">
        <v>571</v>
      </c>
      <c r="C202" s="1474"/>
      <c r="D202" s="1475"/>
      <c r="E202" s="725"/>
      <c r="F202" s="753"/>
      <c r="G202" s="753"/>
      <c r="H202" s="753"/>
      <c r="I202" s="753"/>
      <c r="J202" s="753"/>
      <c r="K202" s="753"/>
      <c r="L202" s="717"/>
    </row>
    <row r="203" spans="1:12">
      <c r="A203" s="752"/>
      <c r="B203" s="761" t="s">
        <v>192</v>
      </c>
      <c r="C203" s="762" t="s">
        <v>577</v>
      </c>
      <c r="D203" s="763" t="s">
        <v>196</v>
      </c>
      <c r="E203" s="725"/>
      <c r="F203" s="753"/>
      <c r="G203" s="717"/>
      <c r="H203" s="717"/>
      <c r="I203" s="717"/>
      <c r="J203" s="753"/>
      <c r="K203" s="753"/>
      <c r="L203" s="717"/>
    </row>
    <row r="204" spans="1:12">
      <c r="A204" s="752"/>
      <c r="B204" s="764">
        <v>229.95</v>
      </c>
      <c r="C204" s="765">
        <v>239.9</v>
      </c>
      <c r="D204" s="766">
        <v>309.89999999999998</v>
      </c>
      <c r="E204" s="725"/>
      <c r="F204" s="753"/>
      <c r="G204" s="717"/>
      <c r="H204" s="717"/>
      <c r="I204" s="717"/>
      <c r="J204" s="753"/>
      <c r="K204" s="753"/>
      <c r="L204" s="717"/>
    </row>
    <row r="205" spans="1:12" ht="15.75" thickBot="1">
      <c r="A205" s="752"/>
      <c r="B205" s="1528">
        <f>SUM(B204:D204)/3</f>
        <v>259.91666666666669</v>
      </c>
      <c r="C205" s="1529"/>
      <c r="D205" s="1530"/>
      <c r="E205" s="725"/>
      <c r="F205" s="753"/>
      <c r="G205" s="717"/>
      <c r="H205" s="717"/>
      <c r="I205" s="717"/>
      <c r="J205" s="753"/>
      <c r="K205" s="753"/>
      <c r="L205" s="717"/>
    </row>
    <row r="206" spans="1:12">
      <c r="A206" s="752"/>
      <c r="B206" s="1469" t="s">
        <v>576</v>
      </c>
      <c r="C206" s="1470"/>
      <c r="D206" s="1452">
        <f>B205/60</f>
        <v>4.3319444444444448</v>
      </c>
      <c r="E206" s="725"/>
      <c r="F206" s="753"/>
      <c r="G206" s="717"/>
      <c r="H206" s="717"/>
      <c r="I206" s="717"/>
      <c r="J206" s="753"/>
      <c r="K206" s="753"/>
      <c r="L206" s="717"/>
    </row>
    <row r="207" spans="1:12" ht="15" thickBot="1">
      <c r="A207" s="752"/>
      <c r="B207" s="1471"/>
      <c r="C207" s="1472"/>
      <c r="D207" s="1453"/>
      <c r="E207" s="725"/>
      <c r="F207" s="753"/>
      <c r="G207" s="717"/>
      <c r="H207" s="717"/>
      <c r="I207" s="717"/>
      <c r="J207" s="753"/>
      <c r="K207" s="753"/>
      <c r="L207" s="717"/>
    </row>
    <row r="208" spans="1:12" ht="15" thickBot="1">
      <c r="A208" s="755"/>
      <c r="B208" s="754"/>
      <c r="C208" s="754"/>
      <c r="D208" s="754"/>
      <c r="E208" s="728"/>
      <c r="F208" s="753"/>
      <c r="G208" s="717"/>
      <c r="H208" s="717"/>
      <c r="I208" s="717"/>
      <c r="J208" s="753"/>
      <c r="K208" s="753"/>
      <c r="L208" s="717"/>
    </row>
    <row r="209" spans="1:12" ht="15" thickBot="1">
      <c r="A209" s="753"/>
      <c r="B209" s="753"/>
      <c r="C209" s="753"/>
      <c r="D209" s="753"/>
      <c r="E209" s="753"/>
      <c r="F209" s="753"/>
      <c r="G209" s="753"/>
      <c r="H209" s="753"/>
      <c r="I209" s="753"/>
      <c r="J209" s="753"/>
      <c r="K209" s="753"/>
      <c r="L209" s="717"/>
    </row>
    <row r="210" spans="1:12" ht="16.5" thickBot="1">
      <c r="A210" s="1460" t="s">
        <v>669</v>
      </c>
      <c r="B210" s="1461"/>
      <c r="C210" s="1461"/>
      <c r="D210" s="1461"/>
      <c r="E210" s="1462"/>
      <c r="F210" s="753"/>
      <c r="G210" s="753"/>
      <c r="H210" s="753"/>
      <c r="I210" s="753"/>
      <c r="J210" s="753"/>
      <c r="K210" s="753"/>
      <c r="L210" s="717"/>
    </row>
    <row r="211" spans="1:12">
      <c r="A211" s="756"/>
      <c r="B211" s="757"/>
      <c r="C211" s="757"/>
      <c r="D211" s="757"/>
      <c r="E211" s="758"/>
      <c r="F211" s="753"/>
      <c r="G211" s="753"/>
      <c r="H211" s="753"/>
      <c r="I211" s="753"/>
      <c r="J211" s="753"/>
      <c r="K211" s="753"/>
      <c r="L211" s="717"/>
    </row>
    <row r="212" spans="1:12">
      <c r="A212" s="1522" t="s">
        <v>572</v>
      </c>
      <c r="B212" s="1523"/>
      <c r="C212" s="1523"/>
      <c r="D212" s="1523"/>
      <c r="E212" s="1524"/>
      <c r="F212" s="753"/>
      <c r="G212" s="753"/>
      <c r="H212" s="753"/>
      <c r="I212" s="753"/>
      <c r="J212" s="753"/>
      <c r="K212" s="753"/>
      <c r="L212" s="717"/>
    </row>
    <row r="213" spans="1:12">
      <c r="A213" s="1522"/>
      <c r="B213" s="1523"/>
      <c r="C213" s="1523"/>
      <c r="D213" s="1523"/>
      <c r="E213" s="1524"/>
      <c r="F213" s="753"/>
      <c r="G213" s="753"/>
      <c r="H213" s="753"/>
      <c r="I213" s="753"/>
      <c r="J213" s="753"/>
      <c r="K213" s="753"/>
      <c r="L213" s="717"/>
    </row>
    <row r="214" spans="1:12">
      <c r="A214" s="1522"/>
      <c r="B214" s="1523"/>
      <c r="C214" s="1523"/>
      <c r="D214" s="1523"/>
      <c r="E214" s="1524"/>
      <c r="F214" s="753"/>
      <c r="G214" s="753"/>
      <c r="H214" s="753"/>
      <c r="I214" s="753"/>
      <c r="J214" s="753"/>
      <c r="K214" s="753"/>
      <c r="L214" s="717"/>
    </row>
    <row r="215" spans="1:12">
      <c r="A215" s="752"/>
      <c r="B215" s="753"/>
      <c r="C215" s="753"/>
      <c r="D215" s="753"/>
      <c r="E215" s="725"/>
      <c r="F215" s="753"/>
      <c r="G215" s="753"/>
      <c r="H215" s="753"/>
      <c r="I215" s="753"/>
      <c r="J215" s="753"/>
      <c r="K215" s="753"/>
      <c r="L215" s="717"/>
    </row>
    <row r="216" spans="1:12">
      <c r="A216" s="752"/>
      <c r="B216" s="753"/>
      <c r="C216" s="753"/>
      <c r="D216" s="753"/>
      <c r="E216" s="725"/>
      <c r="F216" s="753"/>
      <c r="G216" s="753"/>
      <c r="H216" s="753"/>
      <c r="I216" s="753"/>
      <c r="J216" s="753"/>
      <c r="K216" s="753"/>
      <c r="L216" s="717"/>
    </row>
    <row r="217" spans="1:12">
      <c r="A217" s="752"/>
      <c r="B217" s="753"/>
      <c r="C217" s="753"/>
      <c r="D217" s="753"/>
      <c r="E217" s="725"/>
      <c r="F217" s="753"/>
      <c r="G217" s="753"/>
      <c r="H217" s="753"/>
      <c r="I217" s="753"/>
      <c r="J217" s="753"/>
      <c r="K217" s="753"/>
      <c r="L217" s="717"/>
    </row>
    <row r="218" spans="1:12">
      <c r="A218" s="752"/>
      <c r="B218" s="753"/>
      <c r="C218" s="753"/>
      <c r="D218" s="753"/>
      <c r="E218" s="725"/>
      <c r="F218" s="753"/>
      <c r="G218" s="753"/>
      <c r="H218" s="753"/>
      <c r="I218" s="753"/>
      <c r="J218" s="753"/>
      <c r="K218" s="753"/>
      <c r="L218" s="717"/>
    </row>
    <row r="219" spans="1:12">
      <c r="A219" s="752"/>
      <c r="B219" s="753"/>
      <c r="C219" s="753"/>
      <c r="D219" s="753"/>
      <c r="E219" s="751"/>
      <c r="F219" s="747"/>
      <c r="G219" s="747"/>
      <c r="H219" s="747"/>
      <c r="I219" s="753"/>
      <c r="J219" s="753"/>
      <c r="K219" s="753"/>
      <c r="L219" s="717"/>
    </row>
    <row r="220" spans="1:12">
      <c r="A220" s="752"/>
      <c r="B220" s="753"/>
      <c r="C220" s="753"/>
      <c r="D220" s="753"/>
      <c r="E220" s="751"/>
      <c r="F220" s="747"/>
      <c r="G220" s="747"/>
      <c r="H220" s="747"/>
      <c r="I220" s="753"/>
      <c r="J220" s="753"/>
      <c r="K220" s="753"/>
      <c r="L220" s="717"/>
    </row>
    <row r="221" spans="1:12">
      <c r="A221" s="752"/>
      <c r="B221" s="753"/>
      <c r="C221" s="753"/>
      <c r="D221" s="753"/>
      <c r="E221" s="751"/>
      <c r="F221" s="747"/>
      <c r="G221" s="747"/>
      <c r="H221" s="747"/>
      <c r="I221" s="753"/>
      <c r="J221" s="753"/>
      <c r="K221" s="753"/>
      <c r="L221" s="717"/>
    </row>
    <row r="222" spans="1:12">
      <c r="A222" s="752"/>
      <c r="B222" s="753"/>
      <c r="C222" s="753"/>
      <c r="D222" s="753"/>
      <c r="E222" s="725"/>
      <c r="F222" s="753"/>
      <c r="G222" s="753"/>
      <c r="H222" s="753"/>
      <c r="I222" s="753"/>
      <c r="J222" s="753"/>
      <c r="K222" s="753"/>
      <c r="L222" s="717"/>
    </row>
    <row r="223" spans="1:12">
      <c r="A223" s="752"/>
      <c r="B223" s="753"/>
      <c r="C223" s="753"/>
      <c r="D223" s="753"/>
      <c r="E223" s="725"/>
      <c r="F223" s="753"/>
      <c r="G223" s="753"/>
      <c r="H223" s="753"/>
      <c r="I223" s="753"/>
      <c r="J223" s="753"/>
      <c r="K223" s="753"/>
      <c r="L223" s="717"/>
    </row>
    <row r="224" spans="1:12">
      <c r="A224" s="752"/>
      <c r="B224" s="753"/>
      <c r="C224" s="753"/>
      <c r="D224" s="753"/>
      <c r="E224" s="725"/>
      <c r="F224" s="753"/>
      <c r="G224" s="753"/>
      <c r="H224" s="753"/>
      <c r="I224" s="753"/>
      <c r="J224" s="753"/>
      <c r="K224" s="753"/>
      <c r="L224" s="717"/>
    </row>
    <row r="225" spans="1:12">
      <c r="A225" s="752"/>
      <c r="B225" s="753"/>
      <c r="C225" s="753"/>
      <c r="D225" s="753"/>
      <c r="E225" s="725"/>
      <c r="F225" s="753"/>
      <c r="G225" s="753"/>
      <c r="H225" s="753"/>
      <c r="I225" s="753"/>
      <c r="J225" s="753"/>
      <c r="K225" s="753"/>
      <c r="L225" s="717"/>
    </row>
    <row r="226" spans="1:12">
      <c r="A226" s="752"/>
      <c r="B226" s="753"/>
      <c r="C226" s="753"/>
      <c r="D226" s="753"/>
      <c r="E226" s="725"/>
      <c r="F226" s="753"/>
      <c r="G226" s="753"/>
      <c r="H226" s="753"/>
      <c r="I226" s="753"/>
      <c r="J226" s="753"/>
      <c r="K226" s="753"/>
      <c r="L226" s="717"/>
    </row>
    <row r="227" spans="1:12">
      <c r="A227" s="752"/>
      <c r="B227" s="753"/>
      <c r="C227" s="753"/>
      <c r="D227" s="753"/>
      <c r="E227" s="725"/>
      <c r="F227" s="753"/>
      <c r="G227" s="753"/>
      <c r="H227" s="753"/>
      <c r="I227" s="753"/>
      <c r="J227" s="753"/>
      <c r="K227" s="753"/>
      <c r="L227" s="717"/>
    </row>
    <row r="228" spans="1:12">
      <c r="A228" s="752"/>
      <c r="B228" s="753"/>
      <c r="C228" s="753"/>
      <c r="D228" s="753"/>
      <c r="E228" s="725"/>
      <c r="F228" s="753"/>
      <c r="G228" s="753"/>
      <c r="H228" s="753"/>
      <c r="I228" s="753"/>
      <c r="J228" s="753"/>
      <c r="K228" s="753"/>
      <c r="L228" s="717"/>
    </row>
    <row r="229" spans="1:12">
      <c r="A229" s="752"/>
      <c r="B229" s="753"/>
      <c r="C229" s="753"/>
      <c r="D229" s="753"/>
      <c r="E229" s="725"/>
      <c r="F229" s="753"/>
      <c r="G229" s="753"/>
      <c r="H229" s="753"/>
      <c r="I229" s="753"/>
      <c r="J229" s="753"/>
      <c r="K229" s="753"/>
      <c r="L229" s="717"/>
    </row>
    <row r="230" spans="1:12">
      <c r="A230" s="752"/>
      <c r="B230" s="753"/>
      <c r="C230" s="753"/>
      <c r="D230" s="753"/>
      <c r="E230" s="725"/>
      <c r="F230" s="753"/>
      <c r="G230" s="753"/>
      <c r="H230" s="753"/>
      <c r="I230" s="753"/>
      <c r="J230" s="753"/>
      <c r="K230" s="753"/>
      <c r="L230" s="717"/>
    </row>
    <row r="231" spans="1:12">
      <c r="A231" s="752"/>
      <c r="B231" s="753"/>
      <c r="C231" s="753"/>
      <c r="D231" s="753"/>
      <c r="E231" s="725"/>
      <c r="F231" s="753"/>
      <c r="G231" s="753"/>
      <c r="H231" s="753"/>
      <c r="I231" s="753"/>
      <c r="J231" s="753"/>
      <c r="K231" s="753"/>
      <c r="L231" s="717"/>
    </row>
    <row r="232" spans="1:12">
      <c r="A232" s="752"/>
      <c r="B232" s="753"/>
      <c r="C232" s="753"/>
      <c r="D232" s="753"/>
      <c r="E232" s="725"/>
      <c r="F232" s="753"/>
      <c r="G232" s="753"/>
      <c r="H232" s="753"/>
      <c r="I232" s="753"/>
      <c r="J232" s="753"/>
      <c r="K232" s="753"/>
      <c r="L232" s="717"/>
    </row>
    <row r="233" spans="1:12">
      <c r="A233" s="752"/>
      <c r="B233" s="753"/>
      <c r="C233" s="753"/>
      <c r="D233" s="753"/>
      <c r="E233" s="725"/>
      <c r="F233" s="753"/>
      <c r="G233" s="753"/>
      <c r="H233" s="753"/>
      <c r="I233" s="753"/>
      <c r="J233" s="753"/>
      <c r="K233" s="753"/>
      <c r="L233" s="717"/>
    </row>
    <row r="234" spans="1:12">
      <c r="A234" s="752"/>
      <c r="B234" s="753"/>
      <c r="C234" s="753"/>
      <c r="D234" s="753"/>
      <c r="E234" s="725"/>
      <c r="F234" s="753"/>
      <c r="G234" s="753"/>
      <c r="H234" s="753"/>
      <c r="I234" s="753"/>
      <c r="J234" s="753"/>
      <c r="K234" s="753"/>
      <c r="L234" s="717"/>
    </row>
    <row r="235" spans="1:12">
      <c r="A235" s="752"/>
      <c r="B235" s="753"/>
      <c r="C235" s="753"/>
      <c r="D235" s="753"/>
      <c r="E235" s="751"/>
      <c r="F235" s="747"/>
      <c r="G235" s="747"/>
      <c r="H235" s="747"/>
      <c r="I235" s="753"/>
      <c r="J235" s="753"/>
      <c r="K235" s="753"/>
      <c r="L235" s="717"/>
    </row>
    <row r="236" spans="1:12">
      <c r="A236" s="752"/>
      <c r="B236" s="753"/>
      <c r="C236" s="753"/>
      <c r="D236" s="753"/>
      <c r="E236" s="751"/>
      <c r="F236" s="747"/>
      <c r="G236" s="747"/>
      <c r="H236" s="747"/>
      <c r="I236" s="753"/>
      <c r="J236" s="753"/>
      <c r="K236" s="753"/>
      <c r="L236" s="717"/>
    </row>
    <row r="237" spans="1:12">
      <c r="A237" s="1457" t="s">
        <v>573</v>
      </c>
      <c r="B237" s="1458"/>
      <c r="C237" s="1458"/>
      <c r="D237" s="1458"/>
      <c r="E237" s="1459"/>
      <c r="F237" s="747"/>
      <c r="G237" s="747"/>
      <c r="H237" s="747"/>
      <c r="I237" s="753"/>
      <c r="J237" s="753"/>
      <c r="K237" s="753"/>
      <c r="L237" s="717"/>
    </row>
    <row r="238" spans="1:12">
      <c r="A238" s="1457"/>
      <c r="B238" s="1458"/>
      <c r="C238" s="1458"/>
      <c r="D238" s="1458"/>
      <c r="E238" s="1459"/>
      <c r="F238" s="753"/>
      <c r="G238" s="753"/>
      <c r="H238" s="753"/>
      <c r="I238" s="753"/>
      <c r="J238" s="753"/>
      <c r="K238" s="753"/>
      <c r="L238" s="717"/>
    </row>
    <row r="239" spans="1:12">
      <c r="A239" s="1457"/>
      <c r="B239" s="1458"/>
      <c r="C239" s="1458"/>
      <c r="D239" s="1458"/>
      <c r="E239" s="1459"/>
      <c r="F239" s="753"/>
      <c r="G239" s="753"/>
      <c r="H239" s="753"/>
      <c r="I239" s="753"/>
      <c r="J239" s="753"/>
      <c r="K239" s="753"/>
      <c r="L239" s="717"/>
    </row>
    <row r="240" spans="1:12">
      <c r="A240" s="752"/>
      <c r="B240" s="753"/>
      <c r="C240" s="753"/>
      <c r="D240" s="753"/>
      <c r="E240" s="725"/>
      <c r="F240" s="753"/>
      <c r="G240" s="753"/>
      <c r="H240" s="753"/>
      <c r="I240" s="753"/>
      <c r="J240" s="753"/>
      <c r="K240" s="753"/>
      <c r="L240" s="717"/>
    </row>
    <row r="241" spans="1:12">
      <c r="A241" s="752"/>
      <c r="B241" s="753"/>
      <c r="C241" s="753"/>
      <c r="D241" s="753"/>
      <c r="E241" s="725"/>
      <c r="F241" s="753"/>
      <c r="G241" s="753"/>
      <c r="H241" s="753"/>
      <c r="I241" s="753"/>
      <c r="J241" s="753"/>
      <c r="K241" s="753"/>
      <c r="L241" s="717"/>
    </row>
    <row r="242" spans="1:12">
      <c r="A242" s="752"/>
      <c r="B242" s="753"/>
      <c r="C242" s="753"/>
      <c r="D242" s="753"/>
      <c r="E242" s="725"/>
      <c r="F242" s="753"/>
      <c r="G242" s="753"/>
      <c r="H242" s="753"/>
      <c r="I242" s="753"/>
      <c r="J242" s="753"/>
      <c r="K242" s="753"/>
      <c r="L242" s="717"/>
    </row>
    <row r="243" spans="1:12">
      <c r="A243" s="752"/>
      <c r="B243" s="753"/>
      <c r="C243" s="753"/>
      <c r="D243" s="753"/>
      <c r="E243" s="725"/>
      <c r="F243" s="753"/>
      <c r="G243" s="753"/>
      <c r="H243" s="753"/>
      <c r="I243" s="753"/>
      <c r="J243" s="753"/>
      <c r="K243" s="753"/>
      <c r="L243" s="717"/>
    </row>
    <row r="244" spans="1:12">
      <c r="A244" s="752"/>
      <c r="B244" s="753"/>
      <c r="C244" s="753"/>
      <c r="D244" s="753"/>
      <c r="E244" s="725"/>
      <c r="F244" s="753"/>
      <c r="G244" s="753"/>
      <c r="H244" s="753"/>
      <c r="I244" s="753"/>
      <c r="J244" s="753"/>
      <c r="K244" s="753"/>
      <c r="L244" s="717"/>
    </row>
    <row r="245" spans="1:12">
      <c r="A245" s="752"/>
      <c r="B245" s="753"/>
      <c r="C245" s="753"/>
      <c r="D245" s="753"/>
      <c r="E245" s="725"/>
      <c r="F245" s="753"/>
      <c r="G245" s="753"/>
      <c r="H245" s="753"/>
      <c r="I245" s="753"/>
      <c r="J245" s="753"/>
      <c r="K245" s="753"/>
      <c r="L245" s="717"/>
    </row>
    <row r="246" spans="1:12">
      <c r="A246" s="752"/>
      <c r="B246" s="753"/>
      <c r="C246" s="753"/>
      <c r="D246" s="753"/>
      <c r="E246" s="725"/>
      <c r="F246" s="753"/>
      <c r="G246" s="753"/>
      <c r="H246" s="753"/>
      <c r="I246" s="753"/>
      <c r="J246" s="753"/>
      <c r="K246" s="753"/>
      <c r="L246" s="717"/>
    </row>
    <row r="247" spans="1:12">
      <c r="A247" s="752"/>
      <c r="B247" s="753"/>
      <c r="C247" s="753"/>
      <c r="D247" s="753"/>
      <c r="E247" s="725"/>
      <c r="F247" s="753"/>
      <c r="G247" s="753"/>
      <c r="H247" s="753"/>
      <c r="I247" s="753"/>
      <c r="J247" s="753"/>
      <c r="K247" s="753"/>
      <c r="L247" s="717"/>
    </row>
    <row r="248" spans="1:12">
      <c r="A248" s="752"/>
      <c r="B248" s="753"/>
      <c r="C248" s="753"/>
      <c r="D248" s="753"/>
      <c r="E248" s="725"/>
      <c r="F248" s="753"/>
      <c r="G248" s="753"/>
      <c r="H248" s="753"/>
      <c r="I248" s="753"/>
      <c r="J248" s="753"/>
      <c r="K248" s="753"/>
      <c r="L248" s="717"/>
    </row>
    <row r="249" spans="1:12">
      <c r="A249" s="752"/>
      <c r="B249" s="753"/>
      <c r="C249" s="753"/>
      <c r="D249" s="753"/>
      <c r="E249" s="725"/>
      <c r="F249" s="753"/>
      <c r="G249" s="753"/>
      <c r="H249" s="753"/>
      <c r="I249" s="753"/>
      <c r="J249" s="753"/>
      <c r="K249" s="753"/>
      <c r="L249" s="717"/>
    </row>
    <row r="250" spans="1:12">
      <c r="A250" s="752"/>
      <c r="B250" s="753"/>
      <c r="C250" s="753"/>
      <c r="D250" s="753"/>
      <c r="E250" s="725"/>
      <c r="F250" s="753"/>
      <c r="G250" s="753"/>
      <c r="H250" s="753"/>
      <c r="I250" s="753"/>
      <c r="J250" s="753"/>
      <c r="K250" s="753"/>
      <c r="L250" s="717"/>
    </row>
    <row r="251" spans="1:12">
      <c r="A251" s="752"/>
      <c r="B251" s="753"/>
      <c r="C251" s="753"/>
      <c r="D251" s="753"/>
      <c r="E251" s="725"/>
      <c r="F251" s="753"/>
      <c r="G251" s="753"/>
      <c r="H251" s="753"/>
      <c r="I251" s="753"/>
      <c r="J251" s="753"/>
      <c r="K251" s="753"/>
      <c r="L251" s="717"/>
    </row>
    <row r="252" spans="1:12">
      <c r="A252" s="752"/>
      <c r="B252" s="753"/>
      <c r="C252" s="753"/>
      <c r="D252" s="753"/>
      <c r="E252" s="751"/>
      <c r="F252" s="747"/>
      <c r="G252" s="747"/>
      <c r="H252" s="747"/>
      <c r="I252" s="753"/>
      <c r="J252" s="753"/>
      <c r="K252" s="753"/>
      <c r="L252" s="717"/>
    </row>
    <row r="253" spans="1:12">
      <c r="A253" s="752"/>
      <c r="B253" s="753"/>
      <c r="C253" s="753"/>
      <c r="D253" s="753"/>
      <c r="E253" s="751"/>
      <c r="F253" s="747"/>
      <c r="G253" s="747"/>
      <c r="H253" s="747"/>
      <c r="I253" s="753"/>
      <c r="J253" s="753"/>
      <c r="K253" s="753"/>
      <c r="L253" s="717"/>
    </row>
    <row r="254" spans="1:12">
      <c r="A254" s="752"/>
      <c r="B254" s="753"/>
      <c r="C254" s="753"/>
      <c r="D254" s="753"/>
      <c r="E254" s="751"/>
      <c r="F254" s="747"/>
      <c r="G254" s="747"/>
      <c r="H254" s="747"/>
      <c r="I254" s="753"/>
      <c r="J254" s="753"/>
      <c r="K254" s="753"/>
      <c r="L254" s="717"/>
    </row>
    <row r="255" spans="1:12">
      <c r="A255" s="752"/>
      <c r="B255" s="753"/>
      <c r="C255" s="753"/>
      <c r="D255" s="753"/>
      <c r="E255" s="725"/>
      <c r="F255" s="753"/>
      <c r="G255" s="753"/>
      <c r="H255" s="753"/>
      <c r="I255" s="753"/>
      <c r="J255" s="753"/>
      <c r="K255" s="753"/>
      <c r="L255" s="717"/>
    </row>
    <row r="256" spans="1:12">
      <c r="A256" s="752"/>
      <c r="B256" s="753"/>
      <c r="C256" s="753"/>
      <c r="D256" s="753"/>
      <c r="E256" s="725"/>
      <c r="F256" s="753"/>
      <c r="G256" s="717"/>
      <c r="H256" s="717"/>
      <c r="I256" s="717"/>
      <c r="J256" s="753"/>
      <c r="K256" s="753"/>
      <c r="L256" s="717"/>
    </row>
    <row r="257" spans="1:12">
      <c r="A257" s="752"/>
      <c r="B257" s="753"/>
      <c r="C257" s="753"/>
      <c r="D257" s="753"/>
      <c r="E257" s="725"/>
      <c r="F257" s="753"/>
      <c r="G257" s="717"/>
      <c r="H257" s="717"/>
      <c r="I257" s="717"/>
      <c r="J257" s="753"/>
      <c r="K257" s="753"/>
      <c r="L257" s="717"/>
    </row>
    <row r="258" spans="1:12">
      <c r="A258" s="752"/>
      <c r="B258" s="753"/>
      <c r="C258" s="753"/>
      <c r="D258" s="753"/>
      <c r="E258" s="725"/>
      <c r="F258" s="753"/>
      <c r="G258" s="717"/>
      <c r="H258" s="717"/>
      <c r="I258" s="717"/>
      <c r="J258" s="753"/>
      <c r="K258" s="753"/>
      <c r="L258" s="717"/>
    </row>
    <row r="259" spans="1:12">
      <c r="A259" s="752"/>
      <c r="B259" s="753"/>
      <c r="C259" s="753"/>
      <c r="D259" s="753"/>
      <c r="E259" s="725"/>
      <c r="F259" s="753"/>
      <c r="G259" s="717"/>
      <c r="H259" s="717"/>
      <c r="I259" s="717"/>
      <c r="J259" s="753"/>
      <c r="K259" s="753"/>
      <c r="L259" s="717"/>
    </row>
    <row r="260" spans="1:12">
      <c r="A260" s="752"/>
      <c r="B260" s="753"/>
      <c r="C260" s="753"/>
      <c r="D260" s="753"/>
      <c r="E260" s="725"/>
      <c r="F260" s="753"/>
      <c r="G260" s="753"/>
      <c r="H260" s="753"/>
      <c r="I260" s="753"/>
      <c r="J260" s="753"/>
      <c r="K260" s="753"/>
      <c r="L260" s="717"/>
    </row>
    <row r="261" spans="1:12" ht="14.25" customHeight="1">
      <c r="A261" s="1457" t="s">
        <v>574</v>
      </c>
      <c r="B261" s="1458"/>
      <c r="C261" s="1458"/>
      <c r="D261" s="1458"/>
      <c r="E261" s="1459"/>
      <c r="F261" s="753"/>
      <c r="G261" s="767"/>
      <c r="H261" s="767"/>
      <c r="I261" s="768"/>
      <c r="J261" s="753"/>
      <c r="K261" s="753"/>
      <c r="L261" s="717"/>
    </row>
    <row r="262" spans="1:12" ht="14.25" customHeight="1">
      <c r="A262" s="1457"/>
      <c r="B262" s="1458"/>
      <c r="C262" s="1458"/>
      <c r="D262" s="1458"/>
      <c r="E262" s="1459"/>
      <c r="F262" s="753"/>
      <c r="G262" s="767"/>
      <c r="H262" s="767"/>
      <c r="I262" s="768"/>
      <c r="J262" s="753"/>
      <c r="K262" s="753"/>
      <c r="L262" s="717"/>
    </row>
    <row r="263" spans="1:12" ht="14.25" customHeight="1">
      <c r="A263" s="1457"/>
      <c r="B263" s="1458"/>
      <c r="C263" s="1458"/>
      <c r="D263" s="1458"/>
      <c r="E263" s="1459"/>
      <c r="F263" s="753"/>
      <c r="G263" s="767"/>
      <c r="H263" s="767"/>
      <c r="I263" s="768"/>
      <c r="J263" s="753"/>
      <c r="K263" s="753"/>
      <c r="L263" s="717"/>
    </row>
    <row r="264" spans="1:12" ht="14.25" customHeight="1">
      <c r="A264" s="752"/>
      <c r="B264" s="753"/>
      <c r="C264" s="753"/>
      <c r="D264" s="753"/>
      <c r="E264" s="725"/>
      <c r="F264" s="753"/>
      <c r="G264" s="767"/>
      <c r="H264" s="767"/>
      <c r="I264" s="768"/>
      <c r="J264" s="753"/>
      <c r="K264" s="753"/>
      <c r="L264" s="717"/>
    </row>
    <row r="265" spans="1:12" ht="14.25" customHeight="1">
      <c r="A265" s="752"/>
      <c r="B265" s="753"/>
      <c r="C265" s="753"/>
      <c r="D265" s="753"/>
      <c r="E265" s="725"/>
      <c r="F265" s="753"/>
      <c r="G265" s="767"/>
      <c r="H265" s="767"/>
      <c r="I265" s="768"/>
      <c r="J265" s="753"/>
      <c r="K265" s="753"/>
      <c r="L265" s="717"/>
    </row>
    <row r="266" spans="1:12" ht="14.25" customHeight="1">
      <c r="A266" s="752"/>
      <c r="B266" s="753"/>
      <c r="C266" s="753"/>
      <c r="D266" s="753"/>
      <c r="E266" s="725"/>
      <c r="F266" s="753"/>
      <c r="G266" s="767"/>
      <c r="H266" s="767"/>
      <c r="I266" s="768"/>
      <c r="J266" s="753"/>
      <c r="K266" s="753"/>
      <c r="L266" s="717"/>
    </row>
    <row r="267" spans="1:12" ht="14.25" customHeight="1">
      <c r="A267" s="752"/>
      <c r="B267" s="753"/>
      <c r="C267" s="753"/>
      <c r="D267" s="753"/>
      <c r="E267" s="725"/>
      <c r="F267" s="753"/>
      <c r="G267" s="767"/>
      <c r="H267" s="767"/>
      <c r="I267" s="768"/>
      <c r="J267" s="753"/>
      <c r="K267" s="753"/>
      <c r="L267" s="717"/>
    </row>
    <row r="268" spans="1:12" ht="14.25" customHeight="1">
      <c r="A268" s="752"/>
      <c r="B268" s="753"/>
      <c r="C268" s="753"/>
      <c r="D268" s="753"/>
      <c r="E268" s="725"/>
      <c r="F268" s="753"/>
      <c r="G268" s="767"/>
      <c r="H268" s="767"/>
      <c r="I268" s="768"/>
      <c r="J268" s="753"/>
      <c r="K268" s="753"/>
      <c r="L268" s="717"/>
    </row>
    <row r="269" spans="1:12" ht="14.25" customHeight="1">
      <c r="A269" s="752"/>
      <c r="B269" s="753"/>
      <c r="C269" s="753"/>
      <c r="D269" s="753"/>
      <c r="E269" s="725"/>
      <c r="F269" s="753"/>
      <c r="G269" s="767"/>
      <c r="H269" s="767"/>
      <c r="I269" s="768"/>
      <c r="J269" s="753"/>
      <c r="K269" s="753"/>
      <c r="L269" s="717"/>
    </row>
    <row r="270" spans="1:12" ht="14.25" customHeight="1">
      <c r="A270" s="752"/>
      <c r="B270" s="753"/>
      <c r="C270" s="753"/>
      <c r="D270" s="753"/>
      <c r="E270" s="725"/>
      <c r="F270" s="753"/>
      <c r="G270" s="767"/>
      <c r="H270" s="767"/>
      <c r="I270" s="768"/>
      <c r="J270" s="753"/>
      <c r="K270" s="753"/>
      <c r="L270" s="717"/>
    </row>
    <row r="271" spans="1:12" ht="14.25" customHeight="1">
      <c r="A271" s="752"/>
      <c r="B271" s="753"/>
      <c r="C271" s="753"/>
      <c r="D271" s="753"/>
      <c r="E271" s="725"/>
      <c r="F271" s="753"/>
      <c r="G271" s="767"/>
      <c r="H271" s="767"/>
      <c r="I271" s="768"/>
      <c r="J271" s="753"/>
      <c r="K271" s="753"/>
      <c r="L271" s="717"/>
    </row>
    <row r="272" spans="1:12" ht="14.25" customHeight="1">
      <c r="A272" s="752"/>
      <c r="B272" s="753"/>
      <c r="C272" s="753"/>
      <c r="D272" s="753"/>
      <c r="E272" s="725"/>
      <c r="F272" s="753"/>
      <c r="G272" s="767"/>
      <c r="H272" s="767"/>
      <c r="I272" s="768"/>
      <c r="J272" s="753"/>
      <c r="K272" s="753"/>
      <c r="L272" s="717"/>
    </row>
    <row r="273" spans="1:12" ht="14.25" customHeight="1">
      <c r="A273" s="752"/>
      <c r="B273" s="753"/>
      <c r="C273" s="753"/>
      <c r="D273" s="753"/>
      <c r="E273" s="725"/>
      <c r="F273" s="753"/>
      <c r="G273" s="767"/>
      <c r="H273" s="767"/>
      <c r="I273" s="768"/>
      <c r="J273" s="753"/>
      <c r="K273" s="753"/>
      <c r="L273" s="717"/>
    </row>
    <row r="274" spans="1:12" ht="14.25" customHeight="1">
      <c r="A274" s="752"/>
      <c r="B274" s="753"/>
      <c r="C274" s="753"/>
      <c r="D274" s="753"/>
      <c r="E274" s="725"/>
      <c r="F274" s="753"/>
      <c r="G274" s="767"/>
      <c r="H274" s="767"/>
      <c r="I274" s="768"/>
      <c r="J274" s="753"/>
      <c r="K274" s="753"/>
      <c r="L274" s="717"/>
    </row>
    <row r="275" spans="1:12" ht="14.25" customHeight="1">
      <c r="A275" s="752"/>
      <c r="B275" s="753"/>
      <c r="C275" s="753"/>
      <c r="D275" s="753"/>
      <c r="E275" s="725"/>
      <c r="F275" s="753"/>
      <c r="G275" s="767"/>
      <c r="H275" s="767"/>
      <c r="I275" s="768"/>
      <c r="J275" s="753"/>
      <c r="K275" s="753"/>
      <c r="L275" s="717"/>
    </row>
    <row r="276" spans="1:12" ht="14.25" customHeight="1">
      <c r="A276" s="752"/>
      <c r="B276" s="753"/>
      <c r="C276" s="753"/>
      <c r="D276" s="753"/>
      <c r="E276" s="725"/>
      <c r="F276" s="753"/>
      <c r="G276" s="767"/>
      <c r="H276" s="767"/>
      <c r="I276" s="768"/>
      <c r="J276" s="753"/>
      <c r="K276" s="753"/>
      <c r="L276" s="717"/>
    </row>
    <row r="277" spans="1:12" ht="14.25" customHeight="1">
      <c r="A277" s="752"/>
      <c r="B277" s="753"/>
      <c r="C277" s="753"/>
      <c r="D277" s="753"/>
      <c r="E277" s="725"/>
      <c r="F277" s="753"/>
      <c r="G277" s="767"/>
      <c r="H277" s="767"/>
      <c r="I277" s="768"/>
      <c r="J277" s="753"/>
      <c r="K277" s="753"/>
      <c r="L277" s="717"/>
    </row>
    <row r="278" spans="1:12" ht="14.25" customHeight="1">
      <c r="A278" s="752"/>
      <c r="B278" s="753"/>
      <c r="C278" s="753"/>
      <c r="D278" s="753"/>
      <c r="E278" s="725"/>
      <c r="F278" s="753"/>
      <c r="G278" s="767"/>
      <c r="H278" s="767"/>
      <c r="I278" s="768"/>
      <c r="J278" s="753"/>
      <c r="K278" s="753"/>
      <c r="L278" s="717"/>
    </row>
    <row r="279" spans="1:12" ht="14.25" customHeight="1">
      <c r="A279" s="752"/>
      <c r="B279" s="753"/>
      <c r="C279" s="753"/>
      <c r="D279" s="753"/>
      <c r="E279" s="725"/>
      <c r="F279" s="753"/>
      <c r="G279" s="767"/>
      <c r="H279" s="767"/>
      <c r="I279" s="768"/>
      <c r="J279" s="753"/>
      <c r="K279" s="753"/>
      <c r="L279" s="717"/>
    </row>
    <row r="280" spans="1:12" ht="14.25" customHeight="1">
      <c r="A280" s="752"/>
      <c r="B280" s="753"/>
      <c r="C280" s="753"/>
      <c r="D280" s="753"/>
      <c r="E280" s="725"/>
      <c r="F280" s="753"/>
      <c r="G280" s="767"/>
      <c r="H280" s="767"/>
      <c r="I280" s="768"/>
      <c r="J280" s="753"/>
      <c r="K280" s="753"/>
      <c r="L280" s="717"/>
    </row>
    <row r="281" spans="1:12" ht="15" customHeight="1">
      <c r="A281" s="752"/>
      <c r="B281" s="753"/>
      <c r="C281" s="753"/>
      <c r="D281" s="753"/>
      <c r="E281" s="725"/>
      <c r="F281" s="753"/>
      <c r="G281" s="767"/>
      <c r="H281" s="767"/>
      <c r="I281" s="769"/>
      <c r="J281" s="753"/>
      <c r="K281" s="753"/>
      <c r="L281" s="717"/>
    </row>
    <row r="282" spans="1:12">
      <c r="A282" s="752"/>
      <c r="B282" s="753"/>
      <c r="C282" s="753"/>
      <c r="D282" s="753"/>
      <c r="E282" s="725"/>
      <c r="F282" s="753"/>
      <c r="G282" s="753"/>
      <c r="H282" s="753"/>
      <c r="I282" s="753"/>
      <c r="J282" s="753"/>
      <c r="K282" s="753"/>
      <c r="L282" s="717"/>
    </row>
    <row r="283" spans="1:12">
      <c r="A283" s="752"/>
      <c r="B283" s="753"/>
      <c r="C283" s="753"/>
      <c r="D283" s="753"/>
      <c r="E283" s="725"/>
      <c r="F283" s="753"/>
      <c r="G283" s="753"/>
      <c r="H283" s="753"/>
      <c r="I283" s="753"/>
      <c r="J283" s="753"/>
      <c r="K283" s="753"/>
      <c r="L283" s="717"/>
    </row>
    <row r="284" spans="1:12">
      <c r="A284" s="752"/>
      <c r="B284" s="753"/>
      <c r="C284" s="753"/>
      <c r="D284" s="753"/>
      <c r="E284" s="725"/>
      <c r="F284" s="753"/>
      <c r="G284" s="753"/>
      <c r="H284" s="753"/>
      <c r="I284" s="753"/>
      <c r="J284" s="753"/>
      <c r="K284" s="753"/>
      <c r="L284" s="717"/>
    </row>
    <row r="285" spans="1:12">
      <c r="A285" s="752"/>
      <c r="B285" s="753"/>
      <c r="C285" s="753"/>
      <c r="D285" s="753"/>
      <c r="E285" s="725"/>
      <c r="F285" s="753"/>
      <c r="G285" s="753"/>
      <c r="H285" s="753"/>
      <c r="I285" s="753"/>
      <c r="J285" s="753"/>
      <c r="K285" s="753"/>
      <c r="L285" s="717"/>
    </row>
    <row r="286" spans="1:12" ht="15" thickBot="1">
      <c r="A286" s="752"/>
      <c r="B286" s="753"/>
      <c r="C286" s="753"/>
      <c r="D286" s="753"/>
      <c r="E286" s="725"/>
      <c r="F286" s="753"/>
      <c r="G286" s="753"/>
      <c r="H286" s="753"/>
      <c r="I286" s="753"/>
      <c r="J286" s="753"/>
      <c r="K286" s="753"/>
      <c r="L286" s="717"/>
    </row>
    <row r="287" spans="1:12" ht="15.75" thickBot="1">
      <c r="A287" s="752"/>
      <c r="B287" s="1479" t="s">
        <v>670</v>
      </c>
      <c r="C287" s="1480"/>
      <c r="D287" s="1481"/>
      <c r="E287" s="725"/>
      <c r="F287" s="753"/>
      <c r="G287" s="753"/>
      <c r="H287" s="753"/>
      <c r="I287" s="753"/>
      <c r="J287" s="753"/>
      <c r="K287" s="753"/>
      <c r="L287" s="717"/>
    </row>
    <row r="288" spans="1:12">
      <c r="A288" s="752"/>
      <c r="B288" s="770" t="s">
        <v>196</v>
      </c>
      <c r="C288" s="771" t="s">
        <v>192</v>
      </c>
      <c r="D288" s="772" t="s">
        <v>575</v>
      </c>
      <c r="E288" s="725"/>
      <c r="F288" s="753"/>
      <c r="G288" s="753"/>
      <c r="H288" s="753"/>
      <c r="I288" s="753"/>
      <c r="J288" s="753"/>
      <c r="K288" s="753"/>
      <c r="L288" s="717"/>
    </row>
    <row r="289" spans="1:12" ht="15" thickBot="1">
      <c r="A289" s="752"/>
      <c r="B289" s="773">
        <v>361.11</v>
      </c>
      <c r="C289" s="774">
        <v>359.9</v>
      </c>
      <c r="D289" s="775">
        <v>349.9</v>
      </c>
      <c r="E289" s="725"/>
      <c r="F289" s="753"/>
      <c r="G289" s="753"/>
      <c r="H289" s="753"/>
      <c r="I289" s="753"/>
      <c r="J289" s="753"/>
      <c r="K289" s="753"/>
      <c r="L289" s="717"/>
    </row>
    <row r="290" spans="1:12" ht="15.75" thickBot="1">
      <c r="A290" s="752"/>
      <c r="B290" s="1482">
        <f>SUM(B289:D289)/3</f>
        <v>356.96999999999997</v>
      </c>
      <c r="C290" s="1483"/>
      <c r="D290" s="1484"/>
      <c r="E290" s="725"/>
      <c r="F290" s="753"/>
      <c r="G290" s="753"/>
      <c r="H290" s="753"/>
      <c r="I290" s="753"/>
      <c r="J290" s="753"/>
      <c r="K290" s="753"/>
      <c r="L290" s="717"/>
    </row>
    <row r="291" spans="1:12">
      <c r="A291" s="752"/>
      <c r="B291" s="1469" t="s">
        <v>576</v>
      </c>
      <c r="C291" s="1470"/>
      <c r="D291" s="1452">
        <f>B290/60</f>
        <v>5.9494999999999996</v>
      </c>
      <c r="E291" s="725"/>
      <c r="F291" s="753"/>
      <c r="G291" s="753"/>
      <c r="H291" s="753"/>
      <c r="I291" s="753"/>
      <c r="J291" s="753"/>
      <c r="K291" s="753"/>
      <c r="L291" s="717"/>
    </row>
    <row r="292" spans="1:12" ht="15" customHeight="1" thickBot="1">
      <c r="A292" s="755"/>
      <c r="B292" s="1471"/>
      <c r="C292" s="1472"/>
      <c r="D292" s="1453"/>
      <c r="E292" s="728"/>
      <c r="F292" s="753"/>
      <c r="G292" s="753"/>
      <c r="H292" s="753"/>
      <c r="I292" s="753"/>
      <c r="J292" s="753"/>
      <c r="K292" s="753"/>
      <c r="L292" s="717"/>
    </row>
    <row r="293" spans="1:12" ht="15" customHeight="1" thickBot="1">
      <c r="A293" s="753"/>
      <c r="B293" s="776"/>
      <c r="C293" s="776"/>
      <c r="D293" s="776"/>
      <c r="E293" s="753"/>
      <c r="F293" s="753"/>
      <c r="G293" s="753"/>
      <c r="H293" s="753"/>
      <c r="I293" s="753"/>
      <c r="J293" s="753"/>
      <c r="K293" s="753"/>
      <c r="L293" s="717"/>
    </row>
    <row r="294" spans="1:12" ht="16.5" thickBot="1">
      <c r="A294" s="1460" t="s">
        <v>669</v>
      </c>
      <c r="B294" s="1461"/>
      <c r="C294" s="1461"/>
      <c r="D294" s="1461"/>
      <c r="E294" s="1462"/>
      <c r="F294" s="753"/>
      <c r="G294" s="753"/>
      <c r="H294" s="753"/>
      <c r="I294" s="753"/>
      <c r="J294" s="753"/>
      <c r="K294" s="753"/>
      <c r="L294" s="717"/>
    </row>
    <row r="295" spans="1:12" ht="15">
      <c r="A295" s="756"/>
      <c r="B295" s="784"/>
      <c r="C295" s="784"/>
      <c r="D295" s="784"/>
      <c r="E295" s="758"/>
      <c r="F295" s="753"/>
      <c r="G295" s="753"/>
      <c r="H295" s="753"/>
      <c r="I295" s="753"/>
      <c r="J295" s="753"/>
      <c r="K295" s="753"/>
      <c r="L295" s="717"/>
    </row>
    <row r="296" spans="1:12">
      <c r="A296" s="1463" t="s">
        <v>580</v>
      </c>
      <c r="B296" s="1464"/>
      <c r="C296" s="1464"/>
      <c r="D296" s="1464"/>
      <c r="E296" s="1465"/>
      <c r="F296" s="753"/>
      <c r="G296" s="753"/>
      <c r="H296" s="753"/>
      <c r="I296" s="753"/>
      <c r="J296" s="753"/>
      <c r="K296" s="753"/>
      <c r="L296" s="717"/>
    </row>
    <row r="297" spans="1:12">
      <c r="A297" s="752"/>
      <c r="B297" s="753"/>
      <c r="C297" s="753"/>
      <c r="D297" s="753"/>
      <c r="E297" s="725"/>
      <c r="F297" s="753"/>
      <c r="G297" s="753"/>
      <c r="H297" s="753"/>
      <c r="I297" s="753"/>
      <c r="J297" s="753"/>
      <c r="K297" s="753"/>
      <c r="L297" s="717"/>
    </row>
    <row r="298" spans="1:12">
      <c r="A298" s="752"/>
      <c r="B298" s="753"/>
      <c r="C298" s="753"/>
      <c r="D298" s="753"/>
      <c r="E298" s="725"/>
      <c r="F298" s="753"/>
      <c r="G298" s="753"/>
      <c r="H298" s="753"/>
      <c r="I298" s="753"/>
      <c r="J298" s="753"/>
      <c r="K298" s="753"/>
      <c r="L298" s="717"/>
    </row>
    <row r="299" spans="1:12">
      <c r="A299" s="752"/>
      <c r="B299" s="753"/>
      <c r="C299" s="753"/>
      <c r="D299" s="753"/>
      <c r="E299" s="725"/>
      <c r="F299" s="753"/>
      <c r="G299" s="753"/>
      <c r="H299" s="753"/>
      <c r="I299" s="753"/>
      <c r="J299" s="753"/>
      <c r="K299" s="753"/>
      <c r="L299" s="717"/>
    </row>
    <row r="300" spans="1:12">
      <c r="A300" s="752"/>
      <c r="B300" s="753"/>
      <c r="C300" s="753"/>
      <c r="D300" s="753"/>
      <c r="E300" s="725"/>
      <c r="F300" s="753"/>
      <c r="G300" s="753"/>
      <c r="H300" s="753"/>
      <c r="I300" s="753"/>
      <c r="J300" s="753"/>
      <c r="K300" s="753"/>
      <c r="L300" s="717"/>
    </row>
    <row r="301" spans="1:12">
      <c r="A301" s="752"/>
      <c r="B301" s="753"/>
      <c r="C301" s="753"/>
      <c r="D301" s="753"/>
      <c r="E301" s="725"/>
      <c r="F301" s="753"/>
      <c r="G301" s="753"/>
      <c r="H301" s="753"/>
      <c r="I301" s="753"/>
      <c r="J301" s="753"/>
      <c r="K301" s="753"/>
      <c r="L301" s="717"/>
    </row>
    <row r="302" spans="1:12">
      <c r="A302" s="752"/>
      <c r="B302" s="753"/>
      <c r="C302" s="753"/>
      <c r="D302" s="753"/>
      <c r="E302" s="725"/>
      <c r="F302" s="753"/>
      <c r="G302" s="753"/>
      <c r="H302" s="753"/>
      <c r="I302" s="753"/>
      <c r="J302" s="753"/>
      <c r="K302" s="753"/>
      <c r="L302" s="717"/>
    </row>
    <row r="303" spans="1:12">
      <c r="A303" s="752"/>
      <c r="B303" s="753"/>
      <c r="C303" s="753"/>
      <c r="D303" s="753"/>
      <c r="E303" s="725"/>
      <c r="F303" s="753"/>
      <c r="G303" s="753"/>
      <c r="H303" s="753"/>
      <c r="I303" s="753"/>
      <c r="J303" s="753"/>
      <c r="K303" s="753"/>
      <c r="L303" s="717"/>
    </row>
    <row r="304" spans="1:12">
      <c r="A304" s="752"/>
      <c r="B304" s="753"/>
      <c r="C304" s="753"/>
      <c r="D304" s="753"/>
      <c r="E304" s="725"/>
      <c r="F304" s="777"/>
      <c r="G304" s="747"/>
      <c r="H304" s="747"/>
      <c r="I304" s="747"/>
      <c r="J304" s="753"/>
      <c r="K304" s="753"/>
      <c r="L304" s="717"/>
    </row>
    <row r="305" spans="1:12">
      <c r="A305" s="752"/>
      <c r="B305" s="753"/>
      <c r="C305" s="753"/>
      <c r="D305" s="753"/>
      <c r="E305" s="725"/>
      <c r="F305" s="747"/>
      <c r="G305" s="747"/>
      <c r="H305" s="747"/>
      <c r="I305" s="747"/>
      <c r="J305" s="753"/>
      <c r="K305" s="753"/>
      <c r="L305" s="717"/>
    </row>
    <row r="306" spans="1:12">
      <c r="A306" s="752"/>
      <c r="B306" s="753"/>
      <c r="C306" s="753"/>
      <c r="D306" s="753"/>
      <c r="E306" s="725"/>
      <c r="F306" s="747"/>
      <c r="G306" s="747"/>
      <c r="H306" s="747"/>
      <c r="I306" s="747"/>
      <c r="J306" s="753"/>
      <c r="K306" s="753"/>
      <c r="L306" s="717"/>
    </row>
    <row r="307" spans="1:12">
      <c r="A307" s="752"/>
      <c r="B307" s="753"/>
      <c r="C307" s="753"/>
      <c r="D307" s="753"/>
      <c r="E307" s="725"/>
      <c r="F307" s="747"/>
      <c r="G307" s="747"/>
      <c r="H307" s="747"/>
      <c r="I307" s="747"/>
      <c r="J307" s="753"/>
      <c r="K307" s="753"/>
      <c r="L307" s="717"/>
    </row>
    <row r="308" spans="1:12">
      <c r="A308" s="752"/>
      <c r="B308" s="753"/>
      <c r="C308" s="753"/>
      <c r="D308" s="753"/>
      <c r="E308" s="725"/>
      <c r="F308" s="753"/>
      <c r="G308" s="753"/>
      <c r="H308" s="753"/>
      <c r="I308" s="753"/>
      <c r="J308" s="753"/>
      <c r="K308" s="753"/>
      <c r="L308" s="717"/>
    </row>
    <row r="309" spans="1:12">
      <c r="A309" s="752"/>
      <c r="B309" s="753"/>
      <c r="C309" s="753"/>
      <c r="D309" s="753"/>
      <c r="E309" s="725"/>
      <c r="F309" s="753"/>
      <c r="G309" s="753"/>
      <c r="H309" s="753"/>
      <c r="I309" s="753"/>
      <c r="J309" s="753"/>
      <c r="K309" s="753"/>
      <c r="L309" s="717"/>
    </row>
    <row r="310" spans="1:12">
      <c r="A310" s="752"/>
      <c r="B310" s="753"/>
      <c r="C310" s="753"/>
      <c r="D310" s="753"/>
      <c r="E310" s="725"/>
      <c r="F310" s="753"/>
      <c r="G310" s="753"/>
      <c r="H310" s="753"/>
      <c r="I310" s="753"/>
      <c r="J310" s="753"/>
      <c r="K310" s="753"/>
      <c r="L310" s="717"/>
    </row>
    <row r="311" spans="1:12">
      <c r="A311" s="752"/>
      <c r="B311" s="753"/>
      <c r="C311" s="753"/>
      <c r="D311" s="753"/>
      <c r="E311" s="725"/>
      <c r="F311" s="753"/>
      <c r="G311" s="753"/>
      <c r="H311" s="753"/>
      <c r="I311" s="753"/>
      <c r="J311" s="753"/>
      <c r="K311" s="753"/>
      <c r="L311" s="717"/>
    </row>
    <row r="312" spans="1:12">
      <c r="A312" s="752"/>
      <c r="B312" s="753"/>
      <c r="C312" s="753"/>
      <c r="D312" s="753"/>
      <c r="E312" s="725"/>
      <c r="F312" s="753"/>
      <c r="G312" s="753"/>
      <c r="H312" s="753"/>
      <c r="I312" s="753"/>
      <c r="J312" s="753"/>
      <c r="K312" s="753"/>
      <c r="L312" s="717"/>
    </row>
    <row r="313" spans="1:12">
      <c r="A313" s="752"/>
      <c r="B313" s="753"/>
      <c r="C313" s="753"/>
      <c r="D313" s="753"/>
      <c r="E313" s="725"/>
      <c r="F313" s="753"/>
      <c r="G313" s="753"/>
      <c r="H313" s="753"/>
      <c r="I313" s="753"/>
      <c r="J313" s="753"/>
      <c r="K313" s="753"/>
      <c r="L313" s="717"/>
    </row>
    <row r="314" spans="1:12">
      <c r="A314" s="752"/>
      <c r="B314" s="753"/>
      <c r="C314" s="753"/>
      <c r="D314" s="753"/>
      <c r="E314" s="725"/>
      <c r="F314" s="753"/>
      <c r="G314" s="753"/>
      <c r="H314" s="753"/>
      <c r="I314" s="753"/>
      <c r="J314" s="753"/>
      <c r="K314" s="753"/>
      <c r="L314" s="717"/>
    </row>
    <row r="315" spans="1:12">
      <c r="A315" s="752"/>
      <c r="B315" s="753"/>
      <c r="C315" s="753"/>
      <c r="D315" s="753"/>
      <c r="E315" s="725"/>
      <c r="F315" s="753"/>
      <c r="G315" s="753"/>
      <c r="H315" s="753"/>
      <c r="I315" s="753"/>
      <c r="J315" s="753"/>
      <c r="K315" s="753"/>
      <c r="L315" s="717"/>
    </row>
    <row r="316" spans="1:12">
      <c r="A316" s="752"/>
      <c r="B316" s="753"/>
      <c r="C316" s="753"/>
      <c r="D316" s="753"/>
      <c r="E316" s="725"/>
      <c r="F316" s="753"/>
      <c r="G316" s="753"/>
      <c r="H316" s="753"/>
      <c r="I316" s="753"/>
      <c r="J316" s="753"/>
      <c r="K316" s="753"/>
      <c r="L316" s="717"/>
    </row>
    <row r="317" spans="1:12">
      <c r="A317" s="752"/>
      <c r="B317" s="753"/>
      <c r="C317" s="753"/>
      <c r="D317" s="753"/>
      <c r="E317" s="725"/>
      <c r="F317" s="753"/>
      <c r="G317" s="753"/>
      <c r="H317" s="753"/>
      <c r="I317" s="753"/>
      <c r="J317" s="753"/>
      <c r="K317" s="753"/>
      <c r="L317" s="717"/>
    </row>
    <row r="318" spans="1:12">
      <c r="A318" s="752"/>
      <c r="B318" s="753"/>
      <c r="C318" s="753"/>
      <c r="D318" s="753"/>
      <c r="E318" s="725"/>
      <c r="F318" s="753"/>
      <c r="G318" s="753"/>
      <c r="H318" s="753"/>
      <c r="I318" s="753"/>
      <c r="J318" s="753"/>
      <c r="K318" s="753"/>
      <c r="L318" s="717"/>
    </row>
    <row r="319" spans="1:12">
      <c r="A319" s="1466" t="s">
        <v>579</v>
      </c>
      <c r="B319" s="1467"/>
      <c r="C319" s="1467"/>
      <c r="D319" s="1467"/>
      <c r="E319" s="1468"/>
      <c r="F319" s="753"/>
      <c r="G319" s="753"/>
      <c r="H319" s="753"/>
      <c r="I319" s="753"/>
      <c r="J319" s="753"/>
      <c r="K319" s="753"/>
      <c r="L319" s="717"/>
    </row>
    <row r="320" spans="1:12">
      <c r="A320" s="752"/>
      <c r="B320" s="753"/>
      <c r="C320" s="753"/>
      <c r="D320" s="753"/>
      <c r="E320" s="725"/>
      <c r="F320" s="753"/>
      <c r="G320" s="753"/>
      <c r="H320" s="753"/>
      <c r="I320" s="753"/>
      <c r="J320" s="753"/>
      <c r="K320" s="753"/>
      <c r="L320" s="717"/>
    </row>
    <row r="321" spans="1:12">
      <c r="A321" s="752"/>
      <c r="B321" s="753"/>
      <c r="C321" s="753"/>
      <c r="D321" s="753"/>
      <c r="E321" s="725"/>
      <c r="F321" s="753"/>
      <c r="G321" s="753"/>
      <c r="H321" s="753"/>
      <c r="I321" s="753"/>
      <c r="J321" s="753"/>
      <c r="K321" s="753"/>
      <c r="L321" s="717"/>
    </row>
    <row r="322" spans="1:12">
      <c r="A322" s="752"/>
      <c r="B322" s="753"/>
      <c r="C322" s="753"/>
      <c r="D322" s="753"/>
      <c r="E322" s="725"/>
      <c r="F322" s="753"/>
      <c r="G322" s="753"/>
      <c r="H322" s="753"/>
      <c r="I322" s="753"/>
      <c r="J322" s="753"/>
      <c r="K322" s="753"/>
      <c r="L322" s="717"/>
    </row>
    <row r="323" spans="1:12">
      <c r="A323" s="752"/>
      <c r="B323" s="753"/>
      <c r="C323" s="753"/>
      <c r="D323" s="753"/>
      <c r="E323" s="725"/>
      <c r="F323" s="753"/>
      <c r="G323" s="753"/>
      <c r="H323" s="753"/>
      <c r="I323" s="753"/>
      <c r="J323" s="753"/>
      <c r="K323" s="753"/>
      <c r="L323" s="717"/>
    </row>
    <row r="324" spans="1:12">
      <c r="A324" s="752"/>
      <c r="B324" s="753"/>
      <c r="C324" s="753"/>
      <c r="D324" s="753"/>
      <c r="E324" s="725"/>
      <c r="F324" s="753"/>
      <c r="G324" s="753"/>
      <c r="H324" s="753"/>
      <c r="I324" s="753"/>
      <c r="J324" s="753"/>
      <c r="K324" s="753"/>
      <c r="L324" s="717"/>
    </row>
    <row r="325" spans="1:12">
      <c r="A325" s="752"/>
      <c r="B325" s="753"/>
      <c r="C325" s="753"/>
      <c r="D325" s="753"/>
      <c r="E325" s="725"/>
      <c r="F325" s="753"/>
      <c r="G325" s="753"/>
      <c r="H325" s="753"/>
      <c r="I325" s="753"/>
      <c r="J325" s="753"/>
      <c r="K325" s="753"/>
      <c r="L325" s="717"/>
    </row>
    <row r="326" spans="1:12">
      <c r="A326" s="752"/>
      <c r="B326" s="753"/>
      <c r="C326" s="753"/>
      <c r="D326" s="753"/>
      <c r="E326" s="725"/>
      <c r="F326" s="753"/>
      <c r="G326" s="753"/>
      <c r="H326" s="753"/>
      <c r="I326" s="753"/>
      <c r="J326" s="753"/>
      <c r="K326" s="753"/>
      <c r="L326" s="717"/>
    </row>
    <row r="327" spans="1:12">
      <c r="A327" s="752"/>
      <c r="B327" s="753"/>
      <c r="C327" s="753"/>
      <c r="D327" s="753"/>
      <c r="E327" s="725"/>
      <c r="F327" s="753"/>
      <c r="G327" s="753"/>
      <c r="H327" s="753"/>
      <c r="I327" s="753"/>
      <c r="J327" s="753"/>
      <c r="K327" s="753"/>
      <c r="L327" s="717"/>
    </row>
    <row r="328" spans="1:12">
      <c r="A328" s="752"/>
      <c r="B328" s="753"/>
      <c r="C328" s="753"/>
      <c r="D328" s="753"/>
      <c r="E328" s="725"/>
      <c r="F328" s="753"/>
      <c r="G328" s="753"/>
      <c r="H328" s="753"/>
      <c r="I328" s="753"/>
      <c r="J328" s="753"/>
      <c r="K328" s="753"/>
      <c r="L328" s="717"/>
    </row>
    <row r="329" spans="1:12">
      <c r="A329" s="752"/>
      <c r="B329" s="753"/>
      <c r="C329" s="753"/>
      <c r="D329" s="753"/>
      <c r="E329" s="725"/>
      <c r="F329" s="753"/>
      <c r="G329" s="753"/>
      <c r="H329" s="753"/>
      <c r="I329" s="753"/>
      <c r="J329" s="753"/>
      <c r="K329" s="753"/>
      <c r="L329" s="717"/>
    </row>
    <row r="330" spans="1:12">
      <c r="A330" s="752"/>
      <c r="B330" s="753"/>
      <c r="C330" s="753"/>
      <c r="D330" s="753"/>
      <c r="E330" s="725"/>
      <c r="F330" s="747"/>
      <c r="G330" s="747"/>
      <c r="H330" s="747"/>
      <c r="I330" s="753"/>
      <c r="J330" s="753"/>
      <c r="K330" s="753"/>
      <c r="L330" s="717"/>
    </row>
    <row r="331" spans="1:12">
      <c r="A331" s="752"/>
      <c r="B331" s="753"/>
      <c r="C331" s="753"/>
      <c r="D331" s="753"/>
      <c r="E331" s="725"/>
      <c r="F331" s="747"/>
      <c r="G331" s="747"/>
      <c r="H331" s="747"/>
      <c r="I331" s="753"/>
      <c r="J331" s="753"/>
      <c r="K331" s="753"/>
      <c r="L331" s="717"/>
    </row>
    <row r="332" spans="1:12">
      <c r="A332" s="752"/>
      <c r="B332" s="753"/>
      <c r="C332" s="753"/>
      <c r="D332" s="753"/>
      <c r="E332" s="725"/>
      <c r="F332" s="747"/>
      <c r="G332" s="747"/>
      <c r="H332" s="747"/>
      <c r="I332" s="753"/>
      <c r="J332" s="753"/>
      <c r="K332" s="753"/>
      <c r="L332" s="717"/>
    </row>
    <row r="333" spans="1:12">
      <c r="A333" s="752"/>
      <c r="B333" s="753"/>
      <c r="C333" s="753"/>
      <c r="D333" s="753"/>
      <c r="E333" s="725"/>
      <c r="F333" s="753"/>
      <c r="G333" s="753"/>
      <c r="H333" s="753"/>
      <c r="I333" s="753"/>
      <c r="J333" s="753"/>
      <c r="K333" s="753"/>
      <c r="L333" s="717"/>
    </row>
    <row r="334" spans="1:12">
      <c r="A334" s="752"/>
      <c r="B334" s="753"/>
      <c r="C334" s="753"/>
      <c r="D334" s="753"/>
      <c r="E334" s="725"/>
      <c r="F334" s="753"/>
      <c r="G334" s="753"/>
      <c r="H334" s="753"/>
      <c r="I334" s="753"/>
      <c r="J334" s="753"/>
      <c r="K334" s="753"/>
      <c r="L334" s="717"/>
    </row>
    <row r="335" spans="1:12">
      <c r="A335" s="752"/>
      <c r="B335" s="753"/>
      <c r="C335" s="753"/>
      <c r="D335" s="753"/>
      <c r="E335" s="725"/>
      <c r="F335" s="753"/>
      <c r="G335" s="753"/>
      <c r="H335" s="753"/>
      <c r="I335" s="753"/>
      <c r="J335" s="753"/>
      <c r="K335" s="753"/>
      <c r="L335" s="717"/>
    </row>
    <row r="336" spans="1:12">
      <c r="A336" s="752"/>
      <c r="B336" s="753"/>
      <c r="C336" s="753"/>
      <c r="D336" s="753"/>
      <c r="E336" s="725"/>
      <c r="F336" s="753"/>
      <c r="G336" s="753"/>
      <c r="H336" s="753"/>
      <c r="I336" s="753"/>
      <c r="J336" s="753"/>
      <c r="K336" s="753"/>
      <c r="L336" s="717"/>
    </row>
    <row r="337" spans="1:12">
      <c r="A337" s="752"/>
      <c r="B337" s="753"/>
      <c r="C337" s="753"/>
      <c r="D337" s="753"/>
      <c r="E337" s="725"/>
      <c r="F337" s="753"/>
      <c r="G337" s="753"/>
      <c r="H337" s="753"/>
      <c r="I337" s="753"/>
      <c r="J337" s="753"/>
      <c r="K337" s="753"/>
      <c r="L337" s="717"/>
    </row>
    <row r="338" spans="1:12">
      <c r="A338" s="752"/>
      <c r="B338" s="753"/>
      <c r="C338" s="753"/>
      <c r="D338" s="753"/>
      <c r="E338" s="725"/>
      <c r="F338" s="753"/>
      <c r="G338" s="753"/>
      <c r="H338" s="753"/>
      <c r="I338" s="753"/>
      <c r="J338" s="753"/>
      <c r="K338" s="753"/>
      <c r="L338" s="717"/>
    </row>
    <row r="339" spans="1:12">
      <c r="A339" s="752"/>
      <c r="B339" s="753"/>
      <c r="C339" s="753"/>
      <c r="D339" s="753"/>
      <c r="E339" s="725"/>
      <c r="F339" s="753"/>
      <c r="G339" s="753"/>
      <c r="H339" s="753"/>
      <c r="I339" s="753"/>
      <c r="J339" s="753"/>
      <c r="K339" s="753"/>
      <c r="L339" s="717"/>
    </row>
    <row r="340" spans="1:12">
      <c r="A340" s="752"/>
      <c r="B340" s="753"/>
      <c r="C340" s="753"/>
      <c r="D340" s="753"/>
      <c r="E340" s="725"/>
      <c r="F340" s="753"/>
      <c r="G340" s="753"/>
      <c r="H340" s="753"/>
      <c r="I340" s="753"/>
      <c r="J340" s="753"/>
      <c r="K340" s="753"/>
      <c r="L340" s="717"/>
    </row>
    <row r="341" spans="1:12">
      <c r="A341" s="752"/>
      <c r="B341" s="753"/>
      <c r="C341" s="753"/>
      <c r="D341" s="753"/>
      <c r="E341" s="725"/>
      <c r="F341" s="753"/>
      <c r="G341" s="753"/>
      <c r="H341" s="753"/>
      <c r="I341" s="753"/>
      <c r="J341" s="753"/>
      <c r="K341" s="753"/>
      <c r="L341" s="717"/>
    </row>
    <row r="342" spans="1:12">
      <c r="A342" s="752"/>
      <c r="B342" s="753"/>
      <c r="C342" s="753"/>
      <c r="D342" s="753"/>
      <c r="E342" s="725"/>
      <c r="F342" s="753"/>
      <c r="G342" s="753"/>
      <c r="H342" s="753"/>
      <c r="I342" s="753"/>
      <c r="J342" s="753"/>
      <c r="K342" s="753"/>
      <c r="L342" s="717"/>
    </row>
    <row r="343" spans="1:12">
      <c r="A343" s="1463" t="s">
        <v>578</v>
      </c>
      <c r="B343" s="1464"/>
      <c r="C343" s="1464"/>
      <c r="D343" s="1464"/>
      <c r="E343" s="1465"/>
      <c r="F343" s="753"/>
      <c r="G343" s="753"/>
      <c r="H343" s="753"/>
      <c r="I343" s="753"/>
      <c r="J343" s="753"/>
      <c r="K343" s="753"/>
      <c r="L343" s="717"/>
    </row>
    <row r="344" spans="1:12">
      <c r="A344" s="1463"/>
      <c r="B344" s="1464"/>
      <c r="C344" s="1464"/>
      <c r="D344" s="1464"/>
      <c r="E344" s="1465"/>
      <c r="F344" s="753"/>
      <c r="G344" s="753"/>
      <c r="H344" s="753"/>
      <c r="I344" s="753"/>
      <c r="J344" s="753"/>
      <c r="K344" s="753"/>
      <c r="L344" s="717"/>
    </row>
    <row r="345" spans="1:12">
      <c r="A345" s="1463"/>
      <c r="B345" s="1464"/>
      <c r="C345" s="1464"/>
      <c r="D345" s="1464"/>
      <c r="E345" s="1465"/>
      <c r="F345" s="753"/>
      <c r="G345" s="753"/>
      <c r="H345" s="753"/>
      <c r="I345" s="753"/>
      <c r="J345" s="753"/>
      <c r="K345" s="753"/>
      <c r="L345" s="717"/>
    </row>
    <row r="346" spans="1:12">
      <c r="A346" s="780"/>
      <c r="B346" s="781"/>
      <c r="C346" s="781"/>
      <c r="D346" s="781"/>
      <c r="E346" s="785"/>
      <c r="F346" s="753"/>
      <c r="G346" s="753"/>
      <c r="H346" s="753"/>
      <c r="I346" s="753"/>
      <c r="J346" s="753"/>
      <c r="K346" s="753"/>
      <c r="L346" s="717"/>
    </row>
    <row r="347" spans="1:12">
      <c r="A347" s="752"/>
      <c r="B347" s="753"/>
      <c r="C347" s="753"/>
      <c r="D347" s="753"/>
      <c r="E347" s="725"/>
      <c r="F347" s="753"/>
      <c r="G347" s="753"/>
      <c r="H347" s="753"/>
      <c r="I347" s="753"/>
      <c r="J347" s="753"/>
      <c r="K347" s="753"/>
      <c r="L347" s="717"/>
    </row>
    <row r="348" spans="1:12">
      <c r="A348" s="752"/>
      <c r="B348" s="753"/>
      <c r="C348" s="753"/>
      <c r="D348" s="753"/>
      <c r="E348" s="725"/>
      <c r="F348" s="753"/>
      <c r="G348" s="753"/>
      <c r="H348" s="753"/>
      <c r="I348" s="753"/>
      <c r="J348" s="753"/>
      <c r="K348" s="753"/>
      <c r="L348" s="717"/>
    </row>
    <row r="349" spans="1:12">
      <c r="A349" s="752"/>
      <c r="B349" s="753"/>
      <c r="C349" s="753"/>
      <c r="D349" s="753"/>
      <c r="E349" s="725"/>
      <c r="F349" s="753"/>
      <c r="G349" s="753"/>
      <c r="H349" s="753"/>
      <c r="I349" s="753"/>
      <c r="J349" s="753"/>
      <c r="K349" s="753"/>
      <c r="L349" s="717"/>
    </row>
    <row r="350" spans="1:12">
      <c r="A350" s="752"/>
      <c r="B350" s="753"/>
      <c r="C350" s="753"/>
      <c r="D350" s="753"/>
      <c r="E350" s="725"/>
      <c r="F350" s="753"/>
      <c r="G350" s="753"/>
      <c r="H350" s="753"/>
      <c r="I350" s="753"/>
      <c r="J350" s="753"/>
      <c r="K350" s="753"/>
      <c r="L350" s="717"/>
    </row>
    <row r="351" spans="1:12" ht="14.25" customHeight="1">
      <c r="A351" s="752"/>
      <c r="B351" s="753"/>
      <c r="C351" s="753"/>
      <c r="D351" s="753"/>
      <c r="E351" s="725"/>
      <c r="F351" s="777"/>
      <c r="G351" s="747"/>
      <c r="H351" s="747"/>
      <c r="I351" s="753"/>
      <c r="J351" s="753"/>
      <c r="K351" s="753"/>
      <c r="L351" s="717"/>
    </row>
    <row r="352" spans="1:12">
      <c r="A352" s="752"/>
      <c r="B352" s="753"/>
      <c r="C352" s="753"/>
      <c r="D352" s="753"/>
      <c r="E352" s="725"/>
      <c r="F352" s="747"/>
      <c r="G352" s="747"/>
      <c r="H352" s="747"/>
      <c r="I352" s="753"/>
      <c r="J352" s="753"/>
      <c r="K352" s="753"/>
      <c r="L352" s="717"/>
    </row>
    <row r="353" spans="1:12">
      <c r="A353" s="752"/>
      <c r="B353" s="753"/>
      <c r="C353" s="753"/>
      <c r="D353" s="753"/>
      <c r="E353" s="725"/>
      <c r="F353" s="747"/>
      <c r="G353" s="747"/>
      <c r="H353" s="747"/>
      <c r="I353" s="753"/>
      <c r="J353" s="753"/>
      <c r="K353" s="753"/>
      <c r="L353" s="717"/>
    </row>
    <row r="354" spans="1:12">
      <c r="A354" s="752"/>
      <c r="B354" s="753"/>
      <c r="C354" s="753"/>
      <c r="D354" s="753"/>
      <c r="E354" s="725"/>
      <c r="F354" s="753"/>
      <c r="G354" s="753"/>
      <c r="H354" s="753"/>
      <c r="I354" s="753"/>
      <c r="J354" s="753"/>
      <c r="K354" s="753"/>
      <c r="L354" s="717"/>
    </row>
    <row r="355" spans="1:12">
      <c r="A355" s="752"/>
      <c r="B355" s="753"/>
      <c r="C355" s="753"/>
      <c r="D355" s="753"/>
      <c r="E355" s="725"/>
      <c r="F355" s="753"/>
      <c r="G355" s="753"/>
      <c r="H355" s="753"/>
      <c r="I355" s="753"/>
      <c r="J355" s="753"/>
      <c r="K355" s="753"/>
      <c r="L355" s="717"/>
    </row>
    <row r="356" spans="1:12">
      <c r="A356" s="752"/>
      <c r="B356" s="753"/>
      <c r="C356" s="753"/>
      <c r="D356" s="753"/>
      <c r="E356" s="725"/>
      <c r="F356" s="753"/>
      <c r="G356" s="717"/>
      <c r="H356" s="717"/>
      <c r="I356" s="717"/>
      <c r="J356" s="753"/>
      <c r="K356" s="753"/>
      <c r="L356" s="717"/>
    </row>
    <row r="357" spans="1:12">
      <c r="A357" s="752"/>
      <c r="B357" s="753"/>
      <c r="C357" s="753"/>
      <c r="D357" s="753"/>
      <c r="E357" s="725"/>
      <c r="F357" s="753"/>
      <c r="G357" s="717"/>
      <c r="H357" s="717"/>
      <c r="I357" s="717"/>
      <c r="J357" s="753"/>
      <c r="K357" s="753"/>
      <c r="L357" s="717"/>
    </row>
    <row r="358" spans="1:12">
      <c r="A358" s="752"/>
      <c r="B358" s="753"/>
      <c r="C358" s="753"/>
      <c r="D358" s="753"/>
      <c r="E358" s="725"/>
      <c r="F358" s="753"/>
      <c r="G358" s="717"/>
      <c r="H358" s="717"/>
      <c r="I358" s="717"/>
      <c r="J358" s="753"/>
      <c r="K358" s="753"/>
      <c r="L358" s="717"/>
    </row>
    <row r="359" spans="1:12">
      <c r="A359" s="752"/>
      <c r="B359" s="753"/>
      <c r="C359" s="753"/>
      <c r="D359" s="753"/>
      <c r="E359" s="725"/>
      <c r="F359" s="753"/>
      <c r="G359" s="717"/>
      <c r="H359" s="717"/>
      <c r="I359" s="717"/>
      <c r="J359" s="753"/>
      <c r="K359" s="753"/>
      <c r="L359" s="717"/>
    </row>
    <row r="360" spans="1:12">
      <c r="A360" s="752"/>
      <c r="B360" s="753"/>
      <c r="C360" s="753"/>
      <c r="D360" s="753"/>
      <c r="E360" s="725"/>
      <c r="F360" s="753"/>
      <c r="G360" s="717"/>
      <c r="H360" s="717"/>
      <c r="I360" s="717"/>
      <c r="J360" s="753"/>
      <c r="K360" s="753"/>
      <c r="L360" s="717"/>
    </row>
    <row r="361" spans="1:12">
      <c r="A361" s="752"/>
      <c r="B361" s="753"/>
      <c r="C361" s="753"/>
      <c r="D361" s="753"/>
      <c r="E361" s="725"/>
      <c r="F361" s="753"/>
      <c r="G361" s="717"/>
      <c r="H361" s="717"/>
      <c r="I361" s="717"/>
      <c r="J361" s="753"/>
      <c r="K361" s="753"/>
      <c r="L361" s="717"/>
    </row>
    <row r="362" spans="1:12" ht="15">
      <c r="A362" s="752"/>
      <c r="B362" s="753"/>
      <c r="C362" s="753"/>
      <c r="D362" s="753"/>
      <c r="E362" s="725"/>
      <c r="F362" s="753"/>
      <c r="G362" s="778"/>
      <c r="H362" s="778"/>
      <c r="I362" s="779"/>
      <c r="J362" s="753"/>
      <c r="K362" s="753"/>
      <c r="L362" s="717"/>
    </row>
    <row r="363" spans="1:12" ht="15">
      <c r="A363" s="752"/>
      <c r="B363" s="753"/>
      <c r="C363" s="753"/>
      <c r="D363" s="753"/>
      <c r="E363" s="725"/>
      <c r="F363" s="753"/>
      <c r="G363" s="778"/>
      <c r="H363" s="778"/>
      <c r="I363" s="779"/>
      <c r="J363" s="753"/>
      <c r="K363" s="753"/>
      <c r="L363" s="717"/>
    </row>
    <row r="364" spans="1:12" ht="15">
      <c r="A364" s="752"/>
      <c r="B364" s="753"/>
      <c r="C364" s="753"/>
      <c r="D364" s="753"/>
      <c r="E364" s="725"/>
      <c r="F364" s="753"/>
      <c r="G364" s="778"/>
      <c r="H364" s="778"/>
      <c r="I364" s="779"/>
      <c r="J364" s="753"/>
      <c r="K364" s="753"/>
      <c r="L364" s="717"/>
    </row>
    <row r="365" spans="1:12" ht="15">
      <c r="A365" s="752"/>
      <c r="B365" s="753"/>
      <c r="C365" s="753"/>
      <c r="D365" s="753"/>
      <c r="E365" s="725"/>
      <c r="F365" s="753"/>
      <c r="G365" s="778"/>
      <c r="H365" s="778"/>
      <c r="I365" s="779"/>
      <c r="J365" s="753"/>
      <c r="K365" s="753"/>
      <c r="L365" s="717"/>
    </row>
    <row r="366" spans="1:12" ht="15">
      <c r="A366" s="752"/>
      <c r="B366" s="753"/>
      <c r="C366" s="753"/>
      <c r="D366" s="753"/>
      <c r="E366" s="725"/>
      <c r="F366" s="753"/>
      <c r="G366" s="778"/>
      <c r="H366" s="778"/>
      <c r="I366" s="779"/>
      <c r="J366" s="753"/>
      <c r="K366" s="753"/>
      <c r="L366" s="717"/>
    </row>
    <row r="367" spans="1:12" ht="15">
      <c r="A367" s="752"/>
      <c r="B367" s="753"/>
      <c r="C367" s="753"/>
      <c r="D367" s="753"/>
      <c r="E367" s="725"/>
      <c r="F367" s="753"/>
      <c r="G367" s="778"/>
      <c r="H367" s="778"/>
      <c r="I367" s="779"/>
      <c r="J367" s="753"/>
      <c r="K367" s="753"/>
      <c r="L367" s="717"/>
    </row>
    <row r="368" spans="1:12" ht="15">
      <c r="A368" s="752"/>
      <c r="B368" s="753"/>
      <c r="C368" s="753"/>
      <c r="D368" s="753"/>
      <c r="E368" s="725"/>
      <c r="F368" s="753"/>
      <c r="G368" s="778"/>
      <c r="H368" s="778"/>
      <c r="I368" s="779"/>
      <c r="J368" s="753"/>
      <c r="K368" s="753"/>
      <c r="L368" s="717"/>
    </row>
    <row r="369" spans="1:12" ht="15">
      <c r="A369" s="782"/>
      <c r="B369" s="783"/>
      <c r="C369" s="783"/>
      <c r="D369" s="783"/>
      <c r="E369" s="786"/>
      <c r="F369" s="753"/>
      <c r="G369" s="778"/>
      <c r="H369" s="778"/>
      <c r="I369" s="779"/>
      <c r="J369" s="753"/>
      <c r="K369" s="753"/>
      <c r="L369" s="717"/>
    </row>
    <row r="370" spans="1:12" ht="15.75" thickBot="1">
      <c r="A370" s="752"/>
      <c r="B370" s="753"/>
      <c r="C370" s="753"/>
      <c r="D370" s="753"/>
      <c r="E370" s="725"/>
      <c r="F370" s="753"/>
      <c r="G370" s="778"/>
      <c r="H370" s="778"/>
      <c r="I370" s="779"/>
      <c r="J370" s="753"/>
      <c r="K370" s="753"/>
      <c r="L370" s="717"/>
    </row>
    <row r="371" spans="1:12" ht="15">
      <c r="A371" s="752"/>
      <c r="B371" s="1473" t="s">
        <v>570</v>
      </c>
      <c r="C371" s="1474"/>
      <c r="D371" s="1475"/>
      <c r="E371" s="725"/>
      <c r="F371" s="753"/>
      <c r="G371" s="778"/>
      <c r="H371" s="778"/>
      <c r="I371" s="779"/>
      <c r="J371" s="753"/>
      <c r="K371" s="753"/>
      <c r="L371" s="717"/>
    </row>
    <row r="372" spans="1:12" ht="15">
      <c r="A372" s="752"/>
      <c r="B372" s="761" t="s">
        <v>582</v>
      </c>
      <c r="C372" s="762" t="s">
        <v>581</v>
      </c>
      <c r="D372" s="763" t="s">
        <v>192</v>
      </c>
      <c r="E372" s="725"/>
      <c r="F372" s="753"/>
      <c r="G372" s="778"/>
      <c r="H372" s="778"/>
      <c r="I372" s="779"/>
      <c r="J372" s="753"/>
      <c r="K372" s="753"/>
      <c r="L372" s="717"/>
    </row>
    <row r="373" spans="1:12" ht="15">
      <c r="A373" s="752"/>
      <c r="B373" s="764">
        <v>712.3</v>
      </c>
      <c r="C373" s="765">
        <v>619.98</v>
      </c>
      <c r="D373" s="766">
        <v>619.98</v>
      </c>
      <c r="E373" s="725"/>
      <c r="F373" s="753"/>
      <c r="G373" s="778"/>
      <c r="H373" s="778"/>
      <c r="I373" s="779"/>
      <c r="J373" s="753"/>
      <c r="K373" s="753"/>
      <c r="L373" s="717"/>
    </row>
    <row r="374" spans="1:12" ht="15.75" thickBot="1">
      <c r="A374" s="752"/>
      <c r="B374" s="1476">
        <f>SUM(B373:D373)/3</f>
        <v>650.75333333333333</v>
      </c>
      <c r="C374" s="1477"/>
      <c r="D374" s="1478"/>
      <c r="E374" s="725"/>
      <c r="F374" s="753"/>
      <c r="G374" s="753"/>
      <c r="H374" s="753"/>
      <c r="I374" s="753"/>
      <c r="J374" s="753"/>
      <c r="K374" s="753"/>
      <c r="L374" s="717"/>
    </row>
    <row r="375" spans="1:12">
      <c r="A375" s="752"/>
      <c r="B375" s="1469" t="s">
        <v>576</v>
      </c>
      <c r="C375" s="1470"/>
      <c r="D375" s="1452">
        <f>B374/60</f>
        <v>10.845888888888888</v>
      </c>
      <c r="E375" s="725"/>
      <c r="F375" s="753"/>
      <c r="G375" s="753"/>
      <c r="H375" s="753"/>
      <c r="I375" s="753"/>
      <c r="J375" s="753"/>
      <c r="K375" s="753"/>
      <c r="L375" s="753"/>
    </row>
    <row r="376" spans="1:12" ht="15" thickBot="1">
      <c r="A376" s="752"/>
      <c r="B376" s="1471"/>
      <c r="C376" s="1472"/>
      <c r="D376" s="1453"/>
      <c r="E376" s="725"/>
      <c r="F376" s="753"/>
      <c r="G376" s="753"/>
      <c r="H376" s="753"/>
      <c r="I376" s="753"/>
      <c r="J376" s="753"/>
      <c r="K376" s="753"/>
      <c r="L376" s="753"/>
    </row>
    <row r="377" spans="1:12" ht="15" thickBot="1">
      <c r="A377" s="755"/>
      <c r="B377" s="754"/>
      <c r="C377" s="754"/>
      <c r="D377" s="754"/>
      <c r="E377" s="728"/>
      <c r="F377" s="753"/>
      <c r="G377" s="753"/>
      <c r="H377" s="753"/>
      <c r="I377" s="753"/>
      <c r="J377" s="753"/>
      <c r="K377" s="753"/>
      <c r="L377" s="753"/>
    </row>
    <row r="378" spans="1:12" ht="14.25" customHeight="1">
      <c r="A378" s="717"/>
      <c r="B378" s="717"/>
      <c r="C378" s="717"/>
      <c r="D378" s="717"/>
      <c r="E378" s="717"/>
      <c r="F378" s="717"/>
      <c r="G378" s="717"/>
      <c r="H378" s="717"/>
      <c r="I378" s="717"/>
      <c r="J378" s="717"/>
      <c r="K378" s="717"/>
      <c r="L378" s="717"/>
    </row>
    <row r="379" spans="1:12" ht="15" thickBot="1">
      <c r="A379" s="717"/>
      <c r="B379" s="717"/>
      <c r="C379" s="717"/>
      <c r="D379" s="717"/>
      <c r="E379" s="717"/>
      <c r="F379" s="717"/>
      <c r="G379" s="717"/>
      <c r="H379" s="717"/>
      <c r="I379" s="717"/>
      <c r="J379" s="717"/>
      <c r="K379" s="717"/>
      <c r="L379" s="717"/>
    </row>
    <row r="380" spans="1:12" ht="16.5" thickBot="1">
      <c r="A380" s="1454" t="s">
        <v>591</v>
      </c>
      <c r="B380" s="1455"/>
      <c r="C380" s="1455"/>
      <c r="D380" s="1455"/>
      <c r="E380" s="1456"/>
      <c r="F380" s="787"/>
      <c r="G380" s="717"/>
      <c r="H380" s="717"/>
    </row>
    <row r="381" spans="1:12" ht="15.75">
      <c r="A381" s="788" t="s">
        <v>589</v>
      </c>
      <c r="B381" s="789" t="s">
        <v>430</v>
      </c>
      <c r="C381" s="789" t="s">
        <v>595</v>
      </c>
      <c r="D381" s="789" t="s">
        <v>594</v>
      </c>
      <c r="E381" s="790" t="s">
        <v>593</v>
      </c>
      <c r="F381" s="717"/>
      <c r="G381" s="717"/>
      <c r="H381" s="717"/>
    </row>
    <row r="382" spans="1:12" ht="15.75">
      <c r="A382" s="791" t="s">
        <v>671</v>
      </c>
      <c r="B382" s="792" t="s">
        <v>430</v>
      </c>
      <c r="C382" s="792">
        <v>1</v>
      </c>
      <c r="D382" s="393">
        <v>5.2</v>
      </c>
      <c r="E382" s="821">
        <f t="shared" ref="E382:E390" si="2">C382*D382</f>
        <v>5.2</v>
      </c>
      <c r="F382" s="717"/>
      <c r="G382" s="717"/>
      <c r="H382" s="717"/>
    </row>
    <row r="383" spans="1:12" ht="15.75">
      <c r="A383" s="791" t="s">
        <v>672</v>
      </c>
      <c r="B383" s="792" t="s">
        <v>430</v>
      </c>
      <c r="C383" s="792">
        <v>1</v>
      </c>
      <c r="D383" s="393">
        <v>1.3</v>
      </c>
      <c r="E383" s="821">
        <f t="shared" si="2"/>
        <v>1.3</v>
      </c>
      <c r="F383" s="717"/>
      <c r="G383" s="717"/>
      <c r="H383" s="717"/>
    </row>
    <row r="384" spans="1:12" ht="15.75">
      <c r="A384" s="791" t="s">
        <v>673</v>
      </c>
      <c r="B384" s="792" t="s">
        <v>430</v>
      </c>
      <c r="C384" s="792">
        <v>1</v>
      </c>
      <c r="D384" s="393">
        <v>4.6500000000000004</v>
      </c>
      <c r="E384" s="821">
        <f t="shared" si="2"/>
        <v>4.6500000000000004</v>
      </c>
      <c r="F384" s="717"/>
      <c r="G384" s="717"/>
      <c r="H384" s="717"/>
    </row>
    <row r="385" spans="1:8" ht="15.75">
      <c r="A385" s="791" t="s">
        <v>674</v>
      </c>
      <c r="B385" s="792" t="s">
        <v>430</v>
      </c>
      <c r="C385" s="792">
        <v>1</v>
      </c>
      <c r="D385" s="393">
        <v>0.61</v>
      </c>
      <c r="E385" s="821">
        <f t="shared" si="2"/>
        <v>0.61</v>
      </c>
      <c r="F385" s="717"/>
      <c r="G385" s="717"/>
      <c r="H385" s="717"/>
    </row>
    <row r="386" spans="1:8" ht="15.75">
      <c r="A386" s="791" t="s">
        <v>675</v>
      </c>
      <c r="B386" s="792" t="s">
        <v>430</v>
      </c>
      <c r="C386" s="792">
        <v>1</v>
      </c>
      <c r="D386" s="393">
        <v>3.6</v>
      </c>
      <c r="E386" s="821">
        <f t="shared" si="2"/>
        <v>3.6</v>
      </c>
      <c r="F386" s="717"/>
      <c r="G386" s="717"/>
      <c r="H386" s="717"/>
    </row>
    <row r="387" spans="1:8" ht="15.75">
      <c r="A387" s="791" t="s">
        <v>676</v>
      </c>
      <c r="B387" s="792" t="s">
        <v>590</v>
      </c>
      <c r="C387" s="792">
        <v>1</v>
      </c>
      <c r="D387" s="393">
        <v>59.8</v>
      </c>
      <c r="E387" s="821">
        <f t="shared" si="2"/>
        <v>59.8</v>
      </c>
      <c r="F387" s="717"/>
      <c r="G387" s="717"/>
      <c r="H387" s="717"/>
    </row>
    <row r="388" spans="1:8" ht="15.75">
      <c r="A388" s="791" t="s">
        <v>677</v>
      </c>
      <c r="B388" s="792" t="s">
        <v>430</v>
      </c>
      <c r="C388" s="792">
        <v>1</v>
      </c>
      <c r="D388" s="393">
        <v>17.98</v>
      </c>
      <c r="E388" s="821">
        <f t="shared" si="2"/>
        <v>17.98</v>
      </c>
      <c r="F388" s="717"/>
      <c r="G388" s="717"/>
      <c r="H388" s="717"/>
    </row>
    <row r="389" spans="1:8" ht="15.75">
      <c r="A389" s="791" t="s">
        <v>678</v>
      </c>
      <c r="B389" s="792" t="s">
        <v>430</v>
      </c>
      <c r="C389" s="792">
        <v>1</v>
      </c>
      <c r="D389" s="393">
        <v>5.32</v>
      </c>
      <c r="E389" s="821">
        <f t="shared" si="2"/>
        <v>5.32</v>
      </c>
      <c r="F389" s="717"/>
      <c r="G389" s="717"/>
      <c r="H389" s="717"/>
    </row>
    <row r="390" spans="1:8" ht="16.5" thickBot="1">
      <c r="A390" s="793" t="s">
        <v>679</v>
      </c>
      <c r="B390" s="794" t="s">
        <v>430</v>
      </c>
      <c r="C390" s="794">
        <v>1</v>
      </c>
      <c r="D390" s="795">
        <v>9.0500000000000007</v>
      </c>
      <c r="E390" s="822">
        <f t="shared" si="2"/>
        <v>9.0500000000000007</v>
      </c>
      <c r="F390" s="717"/>
      <c r="G390" s="717"/>
      <c r="H390" s="717"/>
    </row>
    <row r="391" spans="1:8" ht="16.5" thickBot="1">
      <c r="A391" s="1515" t="s">
        <v>592</v>
      </c>
      <c r="B391" s="1516"/>
      <c r="C391" s="1516"/>
      <c r="D391" s="1517"/>
      <c r="E391" s="823">
        <f>SUM(E382:E390)</f>
        <v>107.51</v>
      </c>
      <c r="F391" s="717"/>
      <c r="G391" s="717"/>
      <c r="H391" s="717"/>
    </row>
    <row r="392" spans="1:8" ht="15">
      <c r="A392" s="820"/>
      <c r="B392" s="820"/>
      <c r="C392" s="820"/>
      <c r="D392" s="820"/>
      <c r="E392" s="820"/>
      <c r="F392" s="717"/>
      <c r="G392" s="717"/>
      <c r="H392" s="717"/>
    </row>
    <row r="393" spans="1:8">
      <c r="A393" s="717"/>
      <c r="B393" s="717"/>
      <c r="C393" s="717"/>
      <c r="D393" s="717"/>
      <c r="E393" s="717"/>
      <c r="F393" s="717"/>
      <c r="G393" s="717"/>
      <c r="H393" s="717"/>
    </row>
    <row r="394" spans="1:8">
      <c r="A394" s="717"/>
      <c r="B394" s="717"/>
      <c r="C394" s="717"/>
      <c r="D394" s="717"/>
      <c r="E394" s="717"/>
      <c r="F394" s="717"/>
      <c r="G394" s="717"/>
      <c r="H394" s="717"/>
    </row>
    <row r="395" spans="1:8">
      <c r="A395" s="717"/>
      <c r="B395" s="717"/>
      <c r="C395" s="717"/>
      <c r="D395" s="717"/>
      <c r="E395" s="717"/>
      <c r="F395" s="717"/>
      <c r="G395" s="717"/>
      <c r="H395" s="717"/>
    </row>
    <row r="396" spans="1:8">
      <c r="A396" s="717"/>
      <c r="B396" s="717"/>
      <c r="C396" s="717"/>
      <c r="D396" s="717"/>
      <c r="E396" s="717"/>
      <c r="F396" s="717"/>
      <c r="G396" s="717"/>
      <c r="H396" s="717"/>
    </row>
  </sheetData>
  <protectedRanges>
    <protectedRange sqref="E3:F4" name="Intervalo4"/>
  </protectedRanges>
  <mergeCells count="45">
    <mergeCell ref="A391:D391"/>
    <mergeCell ref="G19:L19"/>
    <mergeCell ref="A48:E48"/>
    <mergeCell ref="A61:E61"/>
    <mergeCell ref="A86:E86"/>
    <mergeCell ref="A89:E89"/>
    <mergeCell ref="A127:E127"/>
    <mergeCell ref="A129:E129"/>
    <mergeCell ref="A151:E153"/>
    <mergeCell ref="A176:E178"/>
    <mergeCell ref="A210:E210"/>
    <mergeCell ref="A212:E214"/>
    <mergeCell ref="A108:E108"/>
    <mergeCell ref="B202:D202"/>
    <mergeCell ref="B205:D205"/>
    <mergeCell ref="B206:C207"/>
    <mergeCell ref="A1:E1"/>
    <mergeCell ref="A5:E5"/>
    <mergeCell ref="A17:E17"/>
    <mergeCell ref="A83:B83"/>
    <mergeCell ref="A31:D31"/>
    <mergeCell ref="A24:D24"/>
    <mergeCell ref="A15:B15"/>
    <mergeCell ref="A25:E28"/>
    <mergeCell ref="A73:E73"/>
    <mergeCell ref="A75:E77"/>
    <mergeCell ref="A49:E49"/>
    <mergeCell ref="A22:B22"/>
    <mergeCell ref="A74:B74"/>
    <mergeCell ref="D206:D207"/>
    <mergeCell ref="A380:E380"/>
    <mergeCell ref="A237:E239"/>
    <mergeCell ref="A261:E263"/>
    <mergeCell ref="A294:E294"/>
    <mergeCell ref="A296:E296"/>
    <mergeCell ref="A343:E345"/>
    <mergeCell ref="A319:E319"/>
    <mergeCell ref="B291:C292"/>
    <mergeCell ref="D291:D292"/>
    <mergeCell ref="B371:D371"/>
    <mergeCell ref="B374:D374"/>
    <mergeCell ref="B375:C376"/>
    <mergeCell ref="D375:D376"/>
    <mergeCell ref="B287:D287"/>
    <mergeCell ref="B290:D290"/>
  </mergeCells>
  <phoneticPr fontId="17" type="noConversion"/>
  <conditionalFormatting sqref="A31 E93 F90:I96 B51:B53 A1 G2:XFD4 F1:XFD1 A5 F5:XFD5 A17 J78:XFD113 A91:E92 A94:E97 A18:XFD18 A23:XFD23 A22 E22:H22 A15 E24:XFD24 C15 C22 A24:A25 F25:XFD77 A114:XFD121 A209:XFD209 A264:G280 A281:F281 A203:F208 J203:XFD208 A356:F373 J356:XFD373 A126:XFD126 I122:XFD125 A144:XFD150 A141:E141 A142:D143 I141:XFD143 A162:XFD175 A159:E159 A160:D161 I159:XFD161 A180:E180 A181:D182 I180:XFD182 A200:XFD202 A183:XFD196 A198:D199 A197:E197 I197:XFD199 A222:XFD234 A219:E219 A220:D221 I219:XFD221 A240:XFD251 A235:E235 A236:D236 I235:XFD237 A252:E252 A253:D254 I252:XFD254 A308:XFD318 A304:F304 A305:E307 J304:XFD307 A330:F330 A331:E332 I330:XFD332 A354:XFD355 A333:XFD342 A352:E353 A351:F351 I351:XFD353 L21:XFD21 J22:XFD22 M19:XFD20 A19:F21 C78:D80 C74:D74 E78:I78 I79:I89 A80 A84:D85 A78 A73:A75 G97:I97 C58:D58 B57:D57 D55 C56:D56 B54:D54 D51 C52:D53 C50:D50 I98:I109 B59:D59 A110:I113 A98:D107 A49:A59 A122:D125 A108 A128:XFD128 F127:XFD127 A130:XFD140 A129 F129:XFD129 A154:XFD158 A151 F151:XFD153 A179:XFD179 A176 F176:XFD178 A211:XFD211 F210:XFD210 A215:XFD218 A212 F212:XFD214 A237 F238:XFD239 A261 F261:G263 A255:XFD255 A256:F260 J256:XFD281 A295:XFD295 F294:XFD294 A297:XFD303 A296 F296:XFD296 A346:XFD350 A343 F343:XFD345 A320:XFD329 A319 F319:XFD319 F17 A16:F16 E15:F15 M6:XFD17 A6:F14 A374:XFD379 A392:XFD1048576 A381:E391 G381:XFD391 A380 F380:XFD380 A282:XFD293">
    <cfRule type="expression" dxfId="30" priority="36">
      <formula>CELL("proteger",A1)=1</formula>
    </cfRule>
  </conditionalFormatting>
  <conditionalFormatting sqref="C2:C4 E2:F4">
    <cfRule type="expression" dxfId="29" priority="35">
      <formula>CELL("proteger",C2)=1</formula>
    </cfRule>
  </conditionalFormatting>
  <conditionalFormatting sqref="D2:D4">
    <cfRule type="expression" dxfId="28" priority="34">
      <formula>CELL("proteger",D2)=1</formula>
    </cfRule>
  </conditionalFormatting>
  <conditionalFormatting sqref="A2:B4">
    <cfRule type="expression" dxfId="27" priority="33">
      <formula>CELL("proteger",A2)=1</formula>
    </cfRule>
  </conditionalFormatting>
  <conditionalFormatting sqref="B202:D205">
    <cfRule type="expression" dxfId="26" priority="31">
      <formula>CELL("proteger",B202)=0</formula>
    </cfRule>
    <cfRule type="expression" dxfId="25" priority="32">
      <formula>CELL("proteger",B202)=1</formula>
    </cfRule>
  </conditionalFormatting>
  <conditionalFormatting sqref="B202 B203:D204 B205">
    <cfRule type="expression" dxfId="24" priority="30">
      <formula>CELL("proteger",B202)=1</formula>
    </cfRule>
  </conditionalFormatting>
  <conditionalFormatting sqref="B287:D293 B295:D295">
    <cfRule type="expression" dxfId="23" priority="28">
      <formula>CELL("proteger",B287)=0</formula>
    </cfRule>
    <cfRule type="expression" dxfId="22" priority="29">
      <formula>CELL("proteger",B287)=1</formula>
    </cfRule>
  </conditionalFormatting>
  <conditionalFormatting sqref="B287 B288:D289 B290:B293 B295">
    <cfRule type="expression" dxfId="21" priority="27">
      <formula>CELL("proteger",B287)=1</formula>
    </cfRule>
  </conditionalFormatting>
  <conditionalFormatting sqref="B206">
    <cfRule type="expression" dxfId="20" priority="26">
      <formula>CELL("proteger",B206)=1</formula>
    </cfRule>
  </conditionalFormatting>
  <conditionalFormatting sqref="B375 B457">
    <cfRule type="expression" dxfId="19" priority="25">
      <formula>CELL("proteger",B375)=1</formula>
    </cfRule>
  </conditionalFormatting>
  <conditionalFormatting sqref="B371:D374">
    <cfRule type="expression" dxfId="18" priority="23">
      <formula>CELL("proteger",B371)=0</formula>
    </cfRule>
    <cfRule type="expression" dxfId="17" priority="24">
      <formula>CELL("proteger",B371)=1</formula>
    </cfRule>
  </conditionalFormatting>
  <conditionalFormatting sqref="B371 B372:D373 B374">
    <cfRule type="expression" dxfId="16" priority="22">
      <formula>CELL("proteger",B371)=1</formula>
    </cfRule>
  </conditionalFormatting>
  <conditionalFormatting sqref="K20:L20">
    <cfRule type="expression" dxfId="15" priority="10">
      <formula>CELL("proteger",K20)=1</formula>
    </cfRule>
  </conditionalFormatting>
  <conditionalFormatting sqref="J21">
    <cfRule type="expression" dxfId="14" priority="13">
      <formula>CELL("proteger",J21)=1</formula>
    </cfRule>
  </conditionalFormatting>
  <conditionalFormatting sqref="D382:D390">
    <cfRule type="expression" dxfId="13" priority="16">
      <formula>CELL("proteger",D382)=1</formula>
    </cfRule>
  </conditionalFormatting>
  <conditionalFormatting sqref="G20:J20 G19 G21:I21 I22">
    <cfRule type="expression" dxfId="12" priority="14">
      <formula>CELL("proteger",G19)=1</formula>
    </cfRule>
  </conditionalFormatting>
  <conditionalFormatting sqref="K21">
    <cfRule type="expression" dxfId="11" priority="11">
      <formula>CELL("proteger",K21)=1</formula>
    </cfRule>
  </conditionalFormatting>
  <conditionalFormatting sqref="C51">
    <cfRule type="expression" dxfId="10" priority="9">
      <formula>CELL("proteger",C51)=1</formula>
    </cfRule>
  </conditionalFormatting>
  <conditionalFormatting sqref="A61">
    <cfRule type="expression" dxfId="9" priority="8">
      <formula>CELL("proteger",A61)=1</formula>
    </cfRule>
  </conditionalFormatting>
  <conditionalFormatting sqref="A86">
    <cfRule type="expression" dxfId="8" priority="7">
      <formula>CELL("proteger",A86)=1</formula>
    </cfRule>
  </conditionalFormatting>
  <conditionalFormatting sqref="A87">
    <cfRule type="expression" dxfId="7" priority="6">
      <formula>CELL("proteger",A87)=1</formula>
    </cfRule>
  </conditionalFormatting>
  <conditionalFormatting sqref="A89">
    <cfRule type="expression" dxfId="6" priority="5">
      <formula>CELL("proteger",A89)=1</formula>
    </cfRule>
  </conditionalFormatting>
  <conditionalFormatting sqref="A127">
    <cfRule type="expression" dxfId="5" priority="4">
      <formula>CELL("proteger",A127)=1</formula>
    </cfRule>
  </conditionalFormatting>
  <conditionalFormatting sqref="A210">
    <cfRule type="expression" dxfId="4" priority="3">
      <formula>CELL("proteger",A210)=1</formula>
    </cfRule>
  </conditionalFormatting>
  <conditionalFormatting sqref="A294">
    <cfRule type="expression" dxfId="3" priority="2">
      <formula>CELL("proteger",A294)=1</formula>
    </cfRule>
  </conditionalFormatting>
  <conditionalFormatting sqref="B291">
    <cfRule type="expression" dxfId="2" priority="1">
      <formula>CELL("proteger",B291)=1</formula>
    </cfRule>
  </conditionalFormatting>
  <hyperlinks>
    <hyperlink ref="A108" r:id="rId1" xr:uid="{5C5FAA6E-AF18-4FD8-A176-1E2F03F43F5D}"/>
    <hyperlink ref="A176" r:id="rId2" xr:uid="{58D807BF-0432-4C02-B3EA-C9630D83D381}"/>
    <hyperlink ref="A296" r:id="rId3" xr:uid="{4817DBA9-C044-42EC-BD41-7E945A117814}"/>
    <hyperlink ref="A343" r:id="rId4" xr:uid="{92050987-CAC1-4093-B592-36563830BD62}"/>
  </hyperlinks>
  <printOptions horizontalCentered="1"/>
  <pageMargins left="0.7" right="0.7" top="0.75" bottom="0.75" header="0.3" footer="0.3"/>
  <pageSetup paperSize="9" scale="68" fitToHeight="0" orientation="portrait" r:id="rId5"/>
  <headerFooter scaleWithDoc="0"/>
  <rowBreaks count="7" manualBreakCount="7">
    <brk id="30" max="4" man="1"/>
    <brk id="85" max="4" man="1"/>
    <brk id="126" max="4" man="1"/>
    <brk id="175" max="4" man="1"/>
    <brk id="239" max="4" man="1"/>
    <brk id="293" max="4" man="1"/>
    <brk id="345" max="4" man="1"/>
  </rowBreaks>
  <drawing r:id="rId6"/>
  <legacyDrawing r:id="rId7"/>
  <legacyDrawingHF r:id="rId8"/>
  <oleObjects>
    <mc:AlternateContent xmlns:mc="http://schemas.openxmlformats.org/markup-compatibility/2006">
      <mc:Choice Requires="x14">
        <oleObject progId="CorelDraw.Graphic.18" shapeId="24577" r:id="rId9">
          <objectPr defaultSize="0" autoPict="0" r:id="rId10">
            <anchor moveWithCells="1">
              <from>
                <xdr:col>0</xdr:col>
                <xdr:colOff>1695450</xdr:colOff>
                <xdr:row>0</xdr:row>
                <xdr:rowOff>123825</xdr:rowOff>
              </from>
              <to>
                <xdr:col>0</xdr:col>
                <xdr:colOff>2619375</xdr:colOff>
                <xdr:row>0</xdr:row>
                <xdr:rowOff>819150</xdr:rowOff>
              </to>
            </anchor>
          </objectPr>
        </oleObject>
      </mc:Choice>
      <mc:Fallback>
        <oleObject progId="CorelDraw.Graphic.18" shapeId="24577" r:id="rId9"/>
      </mc:Fallback>
    </mc:AlternateContent>
  </oleObjects>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CC268F-DA4C-4DBA-A37B-CDDE38A8404C}">
  <sheetPr>
    <tabColor rgb="FFC00000"/>
    <pageSetUpPr fitToPage="1"/>
  </sheetPr>
  <dimension ref="A1:O29"/>
  <sheetViews>
    <sheetView tabSelected="1" view="pageBreakPreview" zoomScaleNormal="115" zoomScaleSheetLayoutView="100" workbookViewId="0">
      <selection activeCell="I7" sqref="I7"/>
    </sheetView>
  </sheetViews>
  <sheetFormatPr defaultColWidth="9.125" defaultRowHeight="14.25"/>
  <cols>
    <col min="1" max="1" width="6.25" style="5" customWidth="1"/>
    <col min="2" max="2" width="30.375" style="5" bestFit="1" customWidth="1"/>
    <col min="3" max="3" width="8.5" style="4" bestFit="1" customWidth="1"/>
    <col min="4" max="4" width="11" style="5" bestFit="1" customWidth="1"/>
    <col min="5" max="5" width="14.5" style="5" bestFit="1" customWidth="1"/>
    <col min="6" max="6" width="15.625" style="5" bestFit="1" customWidth="1"/>
    <col min="7" max="7" width="21.875" style="5" bestFit="1" customWidth="1"/>
    <col min="8" max="8" width="14.125" bestFit="1" customWidth="1"/>
    <col min="9" max="9" width="12.875" bestFit="1" customWidth="1"/>
    <col min="10" max="10" width="10.75" bestFit="1" customWidth="1"/>
    <col min="11" max="11" width="14.25" bestFit="1" customWidth="1"/>
    <col min="12" max="14" width="9.125" style="5"/>
    <col min="16" max="16384" width="9.125" style="5"/>
  </cols>
  <sheetData>
    <row r="1" spans="1:15" ht="60" customHeight="1" thickBot="1">
      <c r="A1" s="1377" t="s">
        <v>120</v>
      </c>
      <c r="B1" s="1378"/>
      <c r="C1" s="1378"/>
      <c r="D1" s="1378"/>
      <c r="E1" s="1378"/>
      <c r="F1" s="1378"/>
      <c r="G1" s="1379"/>
    </row>
    <row r="2" spans="1:15" ht="21.75" thickBot="1">
      <c r="A2" s="1531" t="s">
        <v>110</v>
      </c>
      <c r="B2" s="1532"/>
      <c r="C2" s="1532"/>
      <c r="D2" s="1532"/>
      <c r="E2" s="1532"/>
      <c r="F2" s="1532"/>
      <c r="G2" s="1533"/>
    </row>
    <row r="3" spans="1:15" ht="15.75" thickBot="1">
      <c r="A3" s="1375"/>
      <c r="B3" s="1376"/>
      <c r="C3" s="1376"/>
      <c r="D3" s="1376"/>
      <c r="E3" s="1376"/>
      <c r="F3" s="1376"/>
      <c r="G3" s="1534"/>
    </row>
    <row r="4" spans="1:15" ht="15.75">
      <c r="A4" s="1537" t="s">
        <v>279</v>
      </c>
      <c r="B4" s="1538"/>
      <c r="C4" s="1538"/>
      <c r="D4" s="1538"/>
      <c r="E4" s="417"/>
      <c r="F4" s="237" t="s">
        <v>52</v>
      </c>
      <c r="G4" s="238">
        <v>46091</v>
      </c>
    </row>
    <row r="5" spans="1:15" ht="16.5" thickBot="1">
      <c r="A5" s="239" t="s">
        <v>127</v>
      </c>
      <c r="B5" s="240"/>
      <c r="C5" s="240"/>
      <c r="D5" s="240"/>
      <c r="E5" s="240"/>
      <c r="F5" s="241" t="s">
        <v>53</v>
      </c>
      <c r="G5" s="242">
        <v>0.24840000000000001</v>
      </c>
    </row>
    <row r="6" spans="1:15" ht="15.75" thickBot="1">
      <c r="A6" s="427"/>
      <c r="B6" s="428"/>
      <c r="C6" s="429"/>
      <c r="D6" s="429"/>
      <c r="E6" s="429"/>
      <c r="F6" s="430"/>
      <c r="G6" s="971"/>
    </row>
    <row r="7" spans="1:15" customFormat="1" ht="47.25">
      <c r="A7" s="418" t="s">
        <v>54</v>
      </c>
      <c r="B7" s="419" t="s">
        <v>55</v>
      </c>
      <c r="C7" s="419" t="s">
        <v>56</v>
      </c>
      <c r="D7" s="419" t="s">
        <v>57</v>
      </c>
      <c r="E7" s="292" t="s">
        <v>613</v>
      </c>
      <c r="F7" s="420" t="s">
        <v>614</v>
      </c>
      <c r="G7" s="421" t="s">
        <v>292</v>
      </c>
      <c r="L7" s="5"/>
      <c r="M7" s="5"/>
      <c r="N7" s="5"/>
    </row>
    <row r="8" spans="1:15" customFormat="1" ht="15.75">
      <c r="A8" s="422">
        <v>1</v>
      </c>
      <c r="B8" s="244" t="s">
        <v>117</v>
      </c>
      <c r="C8" s="514" t="s">
        <v>59</v>
      </c>
      <c r="D8" s="440">
        <v>12</v>
      </c>
      <c r="E8" s="441">
        <f>('RESUMO COLETA URB'!E10*'RESUMO COLETA URB'!D10)+('RESUMO COLETA URB'!D11*'RESUMO COLETA URB'!E11)</f>
        <v>88502.821369583355</v>
      </c>
      <c r="F8" s="442">
        <f>TRUNC(E8+E8*$G$5,2)</f>
        <v>110486.92</v>
      </c>
      <c r="G8" s="443">
        <f>TRUNC(F8*D8,2)</f>
        <v>1325843.04</v>
      </c>
      <c r="H8" s="415"/>
      <c r="L8" s="5"/>
      <c r="M8" s="5"/>
      <c r="N8" s="5"/>
    </row>
    <row r="9" spans="1:15" customFormat="1" ht="15.75">
      <c r="A9" s="422">
        <v>2</v>
      </c>
      <c r="B9" s="244" t="s">
        <v>141</v>
      </c>
      <c r="C9" s="514" t="s">
        <v>59</v>
      </c>
      <c r="D9" s="440">
        <v>12</v>
      </c>
      <c r="E9" s="441">
        <f>'RESUMO COLETA RURAL'!D10*'RESUMO COLETA RURAL'!E10+'RESUMO COLETA RURAL'!D11*'RESUMO COLETA RURAL'!E11</f>
        <v>38027.821336561334</v>
      </c>
      <c r="F9" s="442">
        <f>TRUNC(E9+E9*$G$5,2)</f>
        <v>47473.93</v>
      </c>
      <c r="G9" s="443">
        <f>TRUNC(F9*D9,2)</f>
        <v>569687.16</v>
      </c>
      <c r="H9" s="415"/>
      <c r="L9" s="5"/>
      <c r="M9" s="5"/>
      <c r="N9" s="5"/>
    </row>
    <row r="10" spans="1:15" s="17" customFormat="1" ht="15.75">
      <c r="A10" s="422">
        <v>3</v>
      </c>
      <c r="B10" s="444" t="s">
        <v>104</v>
      </c>
      <c r="C10" s="514" t="s">
        <v>59</v>
      </c>
      <c r="D10" s="440">
        <v>12</v>
      </c>
      <c r="E10" s="441">
        <f>SUM('ADM. LOCAL'!C7:C14,'ADM. LOCAL'!C19:C21)</f>
        <v>25927.000271249999</v>
      </c>
      <c r="F10" s="442">
        <f>TRUNC(E10+E10*$G$5,2)</f>
        <v>32367.26</v>
      </c>
      <c r="G10" s="443">
        <f>TRUNC(F10*D10,2)</f>
        <v>388407.12</v>
      </c>
      <c r="H10" s="415"/>
      <c r="I10" s="54"/>
      <c r="L10" s="15"/>
      <c r="M10" s="15"/>
      <c r="N10" s="15"/>
    </row>
    <row r="11" spans="1:15" ht="19.5" thickBot="1">
      <c r="A11" s="1535" t="s">
        <v>62</v>
      </c>
      <c r="B11" s="1536"/>
      <c r="C11" s="1536"/>
      <c r="D11" s="1536"/>
      <c r="E11" s="513"/>
      <c r="F11" s="423">
        <f>SUM(F8,F9,F10)</f>
        <v>190328.11000000002</v>
      </c>
      <c r="G11" s="424">
        <f>SUM(G8,G9,G10)</f>
        <v>2283937.3200000003</v>
      </c>
      <c r="I11" s="55"/>
    </row>
    <row r="12" spans="1:15" s="56" customFormat="1">
      <c r="A12"/>
      <c r="B12"/>
      <c r="C12"/>
      <c r="D12"/>
      <c r="E12" s="93"/>
      <c r="F12"/>
      <c r="G12"/>
      <c r="H12"/>
      <c r="I12"/>
      <c r="J12"/>
      <c r="K12"/>
      <c r="L12"/>
      <c r="M12"/>
      <c r="N12"/>
      <c r="O12"/>
    </row>
    <row r="13" spans="1:15" s="57" customFormat="1" ht="15">
      <c r="A13"/>
      <c r="B13"/>
      <c r="C13"/>
      <c r="D13"/>
      <c r="E13" s="93"/>
      <c r="F13" s="73"/>
      <c r="G13" s="73"/>
      <c r="H13"/>
      <c r="I13"/>
      <c r="J13"/>
      <c r="K13"/>
      <c r="L13"/>
      <c r="M13"/>
      <c r="N13"/>
      <c r="O13"/>
    </row>
    <row r="14" spans="1:15">
      <c r="A14"/>
      <c r="B14"/>
      <c r="C14"/>
      <c r="D14"/>
      <c r="E14" s="93"/>
      <c r="F14"/>
      <c r="G14"/>
      <c r="L14"/>
      <c r="M14"/>
      <c r="N14"/>
    </row>
    <row r="15" spans="1:15">
      <c r="A15"/>
      <c r="B15"/>
      <c r="C15"/>
      <c r="D15"/>
      <c r="E15" s="93"/>
      <c r="F15" s="73"/>
      <c r="G15"/>
      <c r="L15"/>
      <c r="M15"/>
      <c r="N15"/>
    </row>
    <row r="16" spans="1:15">
      <c r="A16"/>
      <c r="B16"/>
      <c r="C16"/>
      <c r="D16"/>
      <c r="E16" s="93"/>
      <c r="F16"/>
      <c r="G16"/>
      <c r="L16"/>
      <c r="M16"/>
      <c r="N16"/>
    </row>
    <row r="17" spans="1:15" s="15" customFormat="1" ht="15">
      <c r="A17" s="58"/>
      <c r="B17" s="5"/>
      <c r="C17" s="4"/>
      <c r="D17" s="5"/>
      <c r="E17" s="5"/>
      <c r="F17" s="16"/>
      <c r="G17" s="5"/>
      <c r="H17"/>
      <c r="I17"/>
      <c r="J17"/>
      <c r="K17"/>
      <c r="L17"/>
      <c r="M17"/>
      <c r="N17"/>
      <c r="O17"/>
    </row>
    <row r="18" spans="1:15">
      <c r="L18"/>
      <c r="M18"/>
      <c r="N18"/>
    </row>
    <row r="19" spans="1:15" s="57" customFormat="1" ht="15">
      <c r="A19" s="5"/>
      <c r="B19" s="5"/>
      <c r="C19" s="4"/>
      <c r="D19" s="5"/>
      <c r="E19" s="5"/>
      <c r="F19" s="5"/>
      <c r="G19" s="5"/>
      <c r="H19"/>
      <c r="I19"/>
      <c r="J19"/>
      <c r="K19"/>
      <c r="L19"/>
      <c r="M19"/>
      <c r="N19"/>
      <c r="O19"/>
    </row>
    <row r="20" spans="1:15">
      <c r="L20"/>
      <c r="M20"/>
      <c r="N20"/>
    </row>
    <row r="21" spans="1:15">
      <c r="L21"/>
      <c r="M21"/>
      <c r="N21"/>
    </row>
    <row r="22" spans="1:15">
      <c r="L22"/>
      <c r="M22"/>
      <c r="N22"/>
    </row>
    <row r="23" spans="1:15">
      <c r="L23"/>
      <c r="M23"/>
      <c r="N23"/>
    </row>
    <row r="24" spans="1:15">
      <c r="L24"/>
      <c r="M24"/>
      <c r="N24"/>
    </row>
    <row r="25" spans="1:15">
      <c r="L25"/>
      <c r="M25"/>
      <c r="N25"/>
    </row>
    <row r="26" spans="1:15">
      <c r="L26"/>
      <c r="M26"/>
      <c r="N26"/>
    </row>
    <row r="27" spans="1:15" customFormat="1">
      <c r="A27" s="5"/>
      <c r="B27" s="5"/>
      <c r="C27" s="4"/>
      <c r="D27" s="5"/>
      <c r="E27" s="5"/>
      <c r="F27" s="5"/>
      <c r="G27" s="5"/>
    </row>
    <row r="28" spans="1:15" customFormat="1">
      <c r="A28" s="5"/>
      <c r="B28" s="5"/>
      <c r="C28" s="4"/>
      <c r="D28" s="5"/>
      <c r="E28" s="5"/>
      <c r="F28" s="5"/>
      <c r="G28" s="5"/>
    </row>
    <row r="29" spans="1:15" customFormat="1">
      <c r="A29" s="5"/>
      <c r="B29" s="5"/>
      <c r="C29" s="4"/>
      <c r="D29" s="5"/>
      <c r="E29" s="5"/>
      <c r="F29" s="5"/>
      <c r="G29" s="5"/>
    </row>
  </sheetData>
  <protectedRanges>
    <protectedRange sqref="F6:G6" name="Intervalo6_1"/>
    <protectedRange sqref="G5" name="Intervalo4_1"/>
  </protectedRanges>
  <mergeCells count="5">
    <mergeCell ref="A1:G1"/>
    <mergeCell ref="A2:G2"/>
    <mergeCell ref="A3:G3"/>
    <mergeCell ref="A11:D11"/>
    <mergeCell ref="A4:D4"/>
  </mergeCells>
  <conditionalFormatting sqref="A4 F4:XFD4 A1:XFD3 A5:XFD1048576">
    <cfRule type="expression" dxfId="1" priority="1">
      <formula>CELL("proteger",A1)=1</formula>
    </cfRule>
  </conditionalFormatting>
  <conditionalFormatting sqref="I10:I11">
    <cfRule type="colorScale" priority="22">
      <colorScale>
        <cfvo type="min"/>
        <cfvo type="percentile" val="50"/>
        <cfvo type="max"/>
        <color rgb="FF63BE7B"/>
        <color rgb="FFFFEB84"/>
        <color rgb="FFF8696B"/>
      </colorScale>
    </cfRule>
  </conditionalFormatting>
  <printOptions horizontalCentered="1"/>
  <pageMargins left="0.7" right="0.7" top="0.75" bottom="0.75" header="0.3" footer="0.3"/>
  <pageSetup paperSize="9" scale="74" fitToHeight="0" orientation="portrait" r:id="rId1"/>
  <headerFooter scaleWithDoc="0"/>
  <drawing r:id="rId2"/>
  <legacyDrawing r:id="rId3"/>
  <legacyDrawingHF r:id="rId4"/>
  <oleObjects>
    <mc:AlternateContent xmlns:mc="http://schemas.openxmlformats.org/markup-compatibility/2006">
      <mc:Choice Requires="x14">
        <oleObject progId="CorelDraw.Graphic.18" shapeId="31745" r:id="rId5">
          <objectPr defaultSize="0" autoPict="0" r:id="rId6">
            <anchor moveWithCells="1">
              <from>
                <xdr:col>1</xdr:col>
                <xdr:colOff>266700</xdr:colOff>
                <xdr:row>0</xdr:row>
                <xdr:rowOff>38100</xdr:rowOff>
              </from>
              <to>
                <xdr:col>1</xdr:col>
                <xdr:colOff>1181100</xdr:colOff>
                <xdr:row>0</xdr:row>
                <xdr:rowOff>723900</xdr:rowOff>
              </to>
            </anchor>
          </objectPr>
        </oleObject>
      </mc:Choice>
      <mc:Fallback>
        <oleObject progId="CorelDraw.Graphic.18" shapeId="31745" r:id="rId5"/>
      </mc:Fallback>
    </mc:AlternateContent>
  </oleObjects>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C27B45-EB43-4562-9698-D7D5286DC1A5}">
  <sheetPr>
    <tabColor rgb="FFC00000"/>
    <pageSetUpPr fitToPage="1"/>
  </sheetPr>
  <dimension ref="A1:P33"/>
  <sheetViews>
    <sheetView view="pageBreakPreview" zoomScaleNormal="100" zoomScaleSheetLayoutView="100" workbookViewId="0">
      <selection activeCell="G22" sqref="G22"/>
    </sheetView>
  </sheetViews>
  <sheetFormatPr defaultColWidth="9.125" defaultRowHeight="14.25"/>
  <cols>
    <col min="1" max="1" width="6.25" style="5" customWidth="1"/>
    <col min="2" max="2" width="29.75" style="5" bestFit="1" customWidth="1"/>
    <col min="3" max="3" width="19.125" style="4" bestFit="1" customWidth="1"/>
    <col min="4" max="4" width="12.625" style="5" bestFit="1" customWidth="1"/>
    <col min="5" max="6" width="15.75" style="5" bestFit="1" customWidth="1"/>
    <col min="7" max="10" width="15.75" style="93" bestFit="1" customWidth="1"/>
    <col min="11" max="13" width="15.75" style="5" bestFit="1" customWidth="1"/>
    <col min="14" max="14" width="15.75" style="93" bestFit="1" customWidth="1"/>
    <col min="15" max="16" width="15.75" style="5" bestFit="1" customWidth="1"/>
    <col min="17" max="16384" width="9.125" style="5"/>
  </cols>
  <sheetData>
    <row r="1" spans="1:16" ht="38.25" customHeight="1">
      <c r="A1" s="1558" t="s">
        <v>612</v>
      </c>
      <c r="B1" s="1559"/>
      <c r="C1" s="1559"/>
      <c r="D1" s="1559"/>
      <c r="E1" s="1559"/>
      <c r="F1" s="1559"/>
      <c r="G1" s="1559"/>
      <c r="H1" s="1559"/>
      <c r="I1" s="1559"/>
      <c r="J1" s="1559"/>
      <c r="K1" s="1559"/>
      <c r="L1" s="1559"/>
      <c r="M1" s="1559"/>
      <c r="N1" s="1559"/>
      <c r="O1" s="1559"/>
      <c r="P1" s="1560"/>
    </row>
    <row r="2" spans="1:16" ht="23.25" customHeight="1" thickBot="1">
      <c r="A2" s="1561"/>
      <c r="B2" s="1562"/>
      <c r="C2" s="1562"/>
      <c r="D2" s="1562"/>
      <c r="E2" s="1562"/>
      <c r="F2" s="1562"/>
      <c r="G2" s="1562"/>
      <c r="H2" s="1562"/>
      <c r="I2" s="1562"/>
      <c r="J2" s="1562"/>
      <c r="K2" s="1562"/>
      <c r="L2" s="1562"/>
      <c r="M2" s="1562"/>
      <c r="N2" s="1562"/>
      <c r="O2" s="1562"/>
      <c r="P2" s="1563"/>
    </row>
    <row r="3" spans="1:16" ht="15.75" thickBot="1">
      <c r="A3" s="1375"/>
      <c r="B3" s="1376"/>
      <c r="C3" s="1376"/>
      <c r="D3" s="1376"/>
      <c r="E3" s="1376"/>
      <c r="F3" s="1376"/>
      <c r="G3" s="308"/>
      <c r="H3" s="308"/>
      <c r="I3" s="308"/>
      <c r="J3" s="308"/>
      <c r="K3" s="425"/>
      <c r="L3" s="425"/>
      <c r="M3" s="425"/>
      <c r="N3" s="308"/>
      <c r="O3" s="425"/>
      <c r="P3" s="426"/>
    </row>
    <row r="4" spans="1:16" ht="15.75" customHeight="1" thickBot="1">
      <c r="A4" s="1549" t="s">
        <v>279</v>
      </c>
      <c r="B4" s="1550"/>
      <c r="C4" s="1550"/>
      <c r="D4" s="1550"/>
      <c r="E4" s="1550"/>
      <c r="F4" s="1550"/>
      <c r="G4" s="1550"/>
      <c r="H4" s="1550"/>
      <c r="I4" s="1550"/>
      <c r="J4" s="1550"/>
      <c r="K4" s="1550"/>
      <c r="L4" s="1550"/>
      <c r="M4" s="1550"/>
      <c r="N4" s="1550"/>
      <c r="O4" s="1550"/>
      <c r="P4" s="1551"/>
    </row>
    <row r="5" spans="1:16" ht="16.5" thickBot="1">
      <c r="A5" s="1552" t="s">
        <v>127</v>
      </c>
      <c r="B5" s="1553"/>
      <c r="C5" s="1553"/>
      <c r="D5" s="1553"/>
      <c r="E5" s="1553"/>
      <c r="F5" s="1553"/>
      <c r="G5" s="1553"/>
      <c r="H5" s="1553"/>
      <c r="I5" s="1553"/>
      <c r="J5" s="1553"/>
      <c r="K5" s="1553"/>
      <c r="L5" s="1553"/>
      <c r="M5" s="1553"/>
      <c r="N5" s="1553"/>
      <c r="O5" s="1553"/>
      <c r="P5" s="1554"/>
    </row>
    <row r="6" spans="1:16" ht="15.75" thickBot="1">
      <c r="A6" s="427"/>
      <c r="B6" s="428"/>
      <c r="C6" s="429"/>
      <c r="D6" s="429"/>
      <c r="E6" s="430"/>
      <c r="F6" s="431"/>
      <c r="G6" s="308"/>
      <c r="H6" s="308"/>
      <c r="I6" s="308"/>
      <c r="J6" s="308"/>
      <c r="K6" s="425"/>
      <c r="L6" s="425"/>
      <c r="M6" s="425"/>
      <c r="N6" s="308"/>
      <c r="O6" s="425"/>
      <c r="P6" s="426"/>
    </row>
    <row r="7" spans="1:16" s="93" customFormat="1" ht="16.5" thickBot="1">
      <c r="A7" s="432" t="s">
        <v>299</v>
      </c>
      <c r="B7" s="287" t="s">
        <v>608</v>
      </c>
      <c r="C7" s="287" t="s">
        <v>609</v>
      </c>
      <c r="D7" s="433" t="s">
        <v>610</v>
      </c>
      <c r="E7" s="434">
        <v>1</v>
      </c>
      <c r="F7" s="435">
        <v>2</v>
      </c>
      <c r="G7" s="435">
        <v>3</v>
      </c>
      <c r="H7" s="435">
        <v>4</v>
      </c>
      <c r="I7" s="435">
        <v>5</v>
      </c>
      <c r="J7" s="435">
        <v>6</v>
      </c>
      <c r="K7" s="435">
        <v>7</v>
      </c>
      <c r="L7" s="435">
        <v>8</v>
      </c>
      <c r="M7" s="435">
        <v>9</v>
      </c>
      <c r="N7" s="435">
        <v>10</v>
      </c>
      <c r="O7" s="435">
        <v>11</v>
      </c>
      <c r="P7" s="436">
        <v>12</v>
      </c>
    </row>
    <row r="8" spans="1:16" s="93" customFormat="1" ht="15">
      <c r="A8" s="1545">
        <v>1</v>
      </c>
      <c r="B8" s="1543" t="s">
        <v>117</v>
      </c>
      <c r="C8" s="1547">
        <f>'RESUMO GLOBAL'!G8</f>
        <v>1325843.04</v>
      </c>
      <c r="D8" s="1555">
        <f>C8/C14</f>
        <v>0.58050762969274472</v>
      </c>
      <c r="E8" s="437">
        <f>E9/$C$8</f>
        <v>8.3333333333333329E-2</v>
      </c>
      <c r="F8" s="826">
        <f t="shared" ref="F8:P8" si="0">F9/$C$8</f>
        <v>8.3333333333333329E-2</v>
      </c>
      <c r="G8" s="826">
        <f t="shared" si="0"/>
        <v>8.3333333333333329E-2</v>
      </c>
      <c r="H8" s="826">
        <f t="shared" si="0"/>
        <v>8.3333333333333329E-2</v>
      </c>
      <c r="I8" s="826">
        <f t="shared" si="0"/>
        <v>8.3333333333333329E-2</v>
      </c>
      <c r="J8" s="826">
        <f t="shared" si="0"/>
        <v>8.3333333333333329E-2</v>
      </c>
      <c r="K8" s="826">
        <f t="shared" si="0"/>
        <v>8.3333333333333329E-2</v>
      </c>
      <c r="L8" s="826">
        <f t="shared" si="0"/>
        <v>8.3333333333333329E-2</v>
      </c>
      <c r="M8" s="826">
        <f t="shared" si="0"/>
        <v>8.3333333333333329E-2</v>
      </c>
      <c r="N8" s="826">
        <f t="shared" si="0"/>
        <v>8.3333333333333329E-2</v>
      </c>
      <c r="O8" s="826">
        <f t="shared" si="0"/>
        <v>8.3333333333333329E-2</v>
      </c>
      <c r="P8" s="827">
        <f t="shared" si="0"/>
        <v>8.3333333333333329E-2</v>
      </c>
    </row>
    <row r="9" spans="1:16" s="93" customFormat="1" ht="15.75">
      <c r="A9" s="1546"/>
      <c r="B9" s="1544"/>
      <c r="C9" s="1548"/>
      <c r="D9" s="1556"/>
      <c r="E9" s="438">
        <f>$C$8/12</f>
        <v>110486.92</v>
      </c>
      <c r="F9" s="825">
        <f t="shared" ref="F9:P9" si="1">$C$8/12</f>
        <v>110486.92</v>
      </c>
      <c r="G9" s="825">
        <f t="shared" si="1"/>
        <v>110486.92</v>
      </c>
      <c r="H9" s="825">
        <f t="shared" si="1"/>
        <v>110486.92</v>
      </c>
      <c r="I9" s="825">
        <f t="shared" si="1"/>
        <v>110486.92</v>
      </c>
      <c r="J9" s="825">
        <f t="shared" si="1"/>
        <v>110486.92</v>
      </c>
      <c r="K9" s="825">
        <f t="shared" si="1"/>
        <v>110486.92</v>
      </c>
      <c r="L9" s="825">
        <f t="shared" si="1"/>
        <v>110486.92</v>
      </c>
      <c r="M9" s="825">
        <f t="shared" si="1"/>
        <v>110486.92</v>
      </c>
      <c r="N9" s="825">
        <f t="shared" si="1"/>
        <v>110486.92</v>
      </c>
      <c r="O9" s="825">
        <f t="shared" si="1"/>
        <v>110486.92</v>
      </c>
      <c r="P9" s="828">
        <f t="shared" si="1"/>
        <v>110486.92</v>
      </c>
    </row>
    <row r="10" spans="1:16" s="93" customFormat="1" ht="15">
      <c r="A10" s="1546">
        <v>2</v>
      </c>
      <c r="B10" s="1544" t="s">
        <v>141</v>
      </c>
      <c r="C10" s="1548">
        <f>'RESUMO GLOBAL'!G9</f>
        <v>569687.16</v>
      </c>
      <c r="D10" s="1557">
        <f>C10/C14</f>
        <v>0.24943204658523641</v>
      </c>
      <c r="E10" s="439">
        <f>E11/$C$10</f>
        <v>8.3333333333333329E-2</v>
      </c>
      <c r="F10" s="824">
        <f t="shared" ref="F10:P10" si="2">F11/$C$10</f>
        <v>8.3333333333333329E-2</v>
      </c>
      <c r="G10" s="824">
        <f t="shared" si="2"/>
        <v>8.3333333333333329E-2</v>
      </c>
      <c r="H10" s="824">
        <f t="shared" si="2"/>
        <v>8.3333333333333329E-2</v>
      </c>
      <c r="I10" s="824">
        <f t="shared" si="2"/>
        <v>8.3333333333333329E-2</v>
      </c>
      <c r="J10" s="824">
        <f t="shared" si="2"/>
        <v>8.3333333333333329E-2</v>
      </c>
      <c r="K10" s="824">
        <f t="shared" si="2"/>
        <v>8.3333333333333329E-2</v>
      </c>
      <c r="L10" s="824">
        <f t="shared" si="2"/>
        <v>8.3333333333333329E-2</v>
      </c>
      <c r="M10" s="824">
        <f t="shared" si="2"/>
        <v>8.3333333333333329E-2</v>
      </c>
      <c r="N10" s="824">
        <f t="shared" si="2"/>
        <v>8.3333333333333329E-2</v>
      </c>
      <c r="O10" s="824">
        <f t="shared" si="2"/>
        <v>8.3333333333333329E-2</v>
      </c>
      <c r="P10" s="829">
        <f t="shared" si="2"/>
        <v>8.3333333333333329E-2</v>
      </c>
    </row>
    <row r="11" spans="1:16" s="93" customFormat="1" ht="15.75">
      <c r="A11" s="1546"/>
      <c r="B11" s="1544"/>
      <c r="C11" s="1548"/>
      <c r="D11" s="1556"/>
      <c r="E11" s="438">
        <f>$C$10/12</f>
        <v>47473.93</v>
      </c>
      <c r="F11" s="825">
        <f t="shared" ref="F11:P11" si="3">$C$10/12</f>
        <v>47473.93</v>
      </c>
      <c r="G11" s="825">
        <f t="shared" si="3"/>
        <v>47473.93</v>
      </c>
      <c r="H11" s="825">
        <f t="shared" si="3"/>
        <v>47473.93</v>
      </c>
      <c r="I11" s="825">
        <f t="shared" si="3"/>
        <v>47473.93</v>
      </c>
      <c r="J11" s="825">
        <f t="shared" si="3"/>
        <v>47473.93</v>
      </c>
      <c r="K11" s="825">
        <f t="shared" si="3"/>
        <v>47473.93</v>
      </c>
      <c r="L11" s="825">
        <f t="shared" si="3"/>
        <v>47473.93</v>
      </c>
      <c r="M11" s="825">
        <f t="shared" si="3"/>
        <v>47473.93</v>
      </c>
      <c r="N11" s="825">
        <f t="shared" si="3"/>
        <v>47473.93</v>
      </c>
      <c r="O11" s="825">
        <f t="shared" si="3"/>
        <v>47473.93</v>
      </c>
      <c r="P11" s="828">
        <f t="shared" si="3"/>
        <v>47473.93</v>
      </c>
    </row>
    <row r="12" spans="1:16" s="17" customFormat="1" ht="15">
      <c r="A12" s="1546">
        <v>3</v>
      </c>
      <c r="B12" s="1573" t="s">
        <v>104</v>
      </c>
      <c r="C12" s="1548">
        <f>'RESUMO GLOBAL'!G10</f>
        <v>388407.12</v>
      </c>
      <c r="D12" s="1557">
        <f>C12/C14</f>
        <v>0.17006032372201876</v>
      </c>
      <c r="E12" s="439">
        <f>E13/$C$12</f>
        <v>8.3333333333333329E-2</v>
      </c>
      <c r="F12" s="824">
        <f t="shared" ref="F12:P12" si="4">F13/$C$12</f>
        <v>8.3333333333333329E-2</v>
      </c>
      <c r="G12" s="824">
        <f t="shared" si="4"/>
        <v>8.3333333333333329E-2</v>
      </c>
      <c r="H12" s="824">
        <f t="shared" si="4"/>
        <v>8.3333333333333329E-2</v>
      </c>
      <c r="I12" s="824">
        <f t="shared" si="4"/>
        <v>8.3333333333333329E-2</v>
      </c>
      <c r="J12" s="824">
        <f t="shared" si="4"/>
        <v>8.3333333333333329E-2</v>
      </c>
      <c r="K12" s="824">
        <f t="shared" si="4"/>
        <v>8.3333333333333329E-2</v>
      </c>
      <c r="L12" s="824">
        <f t="shared" si="4"/>
        <v>8.3333333333333329E-2</v>
      </c>
      <c r="M12" s="824">
        <f t="shared" si="4"/>
        <v>8.3333333333333329E-2</v>
      </c>
      <c r="N12" s="824">
        <f t="shared" si="4"/>
        <v>8.3333333333333329E-2</v>
      </c>
      <c r="O12" s="824">
        <f t="shared" si="4"/>
        <v>8.3333333333333329E-2</v>
      </c>
      <c r="P12" s="829">
        <f t="shared" si="4"/>
        <v>8.3333333333333329E-2</v>
      </c>
    </row>
    <row r="13" spans="1:16" s="17" customFormat="1" ht="16.5" thickBot="1">
      <c r="A13" s="1572"/>
      <c r="B13" s="1574"/>
      <c r="C13" s="1575"/>
      <c r="D13" s="1576"/>
      <c r="E13" s="830">
        <f>$C$12/12</f>
        <v>32367.26</v>
      </c>
      <c r="F13" s="831">
        <f t="shared" ref="F13:P13" si="5">$C$12/12</f>
        <v>32367.26</v>
      </c>
      <c r="G13" s="831">
        <f t="shared" si="5"/>
        <v>32367.26</v>
      </c>
      <c r="H13" s="831">
        <f t="shared" si="5"/>
        <v>32367.26</v>
      </c>
      <c r="I13" s="831">
        <f t="shared" si="5"/>
        <v>32367.26</v>
      </c>
      <c r="J13" s="831">
        <f t="shared" si="5"/>
        <v>32367.26</v>
      </c>
      <c r="K13" s="831">
        <f t="shared" si="5"/>
        <v>32367.26</v>
      </c>
      <c r="L13" s="831">
        <f t="shared" si="5"/>
        <v>32367.26</v>
      </c>
      <c r="M13" s="831">
        <f t="shared" si="5"/>
        <v>32367.26</v>
      </c>
      <c r="N13" s="831">
        <f t="shared" si="5"/>
        <v>32367.26</v>
      </c>
      <c r="O13" s="831">
        <f t="shared" si="5"/>
        <v>32367.26</v>
      </c>
      <c r="P13" s="832">
        <f t="shared" si="5"/>
        <v>32367.26</v>
      </c>
    </row>
    <row r="14" spans="1:16" s="17" customFormat="1" ht="18.75" customHeight="1">
      <c r="A14" s="1564" t="s">
        <v>611</v>
      </c>
      <c r="B14" s="1565"/>
      <c r="C14" s="1568">
        <f>SUM(C8:C13)</f>
        <v>2283937.3200000003</v>
      </c>
      <c r="D14" s="1570">
        <f>SUM(D8:D12)</f>
        <v>0.99999999999999989</v>
      </c>
      <c r="E14" s="1541">
        <f>SUM(E9,E11,E13)</f>
        <v>190328.11000000002</v>
      </c>
      <c r="F14" s="1541">
        <f t="shared" ref="F14:P14" si="6">SUM(F9,F11,F13)</f>
        <v>190328.11000000002</v>
      </c>
      <c r="G14" s="1541">
        <f t="shared" si="6"/>
        <v>190328.11000000002</v>
      </c>
      <c r="H14" s="1541">
        <f t="shared" si="6"/>
        <v>190328.11000000002</v>
      </c>
      <c r="I14" s="1541">
        <f t="shared" si="6"/>
        <v>190328.11000000002</v>
      </c>
      <c r="J14" s="1541">
        <f t="shared" si="6"/>
        <v>190328.11000000002</v>
      </c>
      <c r="K14" s="1541">
        <f t="shared" si="6"/>
        <v>190328.11000000002</v>
      </c>
      <c r="L14" s="1541">
        <f t="shared" si="6"/>
        <v>190328.11000000002</v>
      </c>
      <c r="M14" s="1541">
        <f t="shared" si="6"/>
        <v>190328.11000000002</v>
      </c>
      <c r="N14" s="1541">
        <f t="shared" si="6"/>
        <v>190328.11000000002</v>
      </c>
      <c r="O14" s="1541">
        <f t="shared" si="6"/>
        <v>190328.11000000002</v>
      </c>
      <c r="P14" s="1539">
        <f t="shared" si="6"/>
        <v>190328.11000000002</v>
      </c>
    </row>
    <row r="15" spans="1:16" ht="15" thickBot="1">
      <c r="A15" s="1566"/>
      <c r="B15" s="1567"/>
      <c r="C15" s="1569"/>
      <c r="D15" s="1571"/>
      <c r="E15" s="1542"/>
      <c r="F15" s="1542"/>
      <c r="G15" s="1542"/>
      <c r="H15" s="1542"/>
      <c r="I15" s="1542"/>
      <c r="J15" s="1542"/>
      <c r="K15" s="1542"/>
      <c r="L15" s="1542"/>
      <c r="M15" s="1542"/>
      <c r="N15" s="1542"/>
      <c r="O15" s="1542"/>
      <c r="P15" s="1540"/>
    </row>
    <row r="16" spans="1:16" s="56" customFormat="1" ht="15">
      <c r="A16" s="93"/>
      <c r="B16" s="93"/>
      <c r="C16" s="93"/>
      <c r="D16" s="93"/>
      <c r="E16" s="73"/>
      <c r="F16" s="73"/>
      <c r="G16" s="93"/>
      <c r="H16" s="93"/>
      <c r="I16" s="93"/>
      <c r="J16" s="93"/>
      <c r="K16" s="93"/>
      <c r="L16" s="93"/>
      <c r="M16" s="93"/>
      <c r="N16" s="93"/>
      <c r="O16" s="57"/>
      <c r="P16" s="57"/>
    </row>
    <row r="17" spans="1:16" s="57" customFormat="1" ht="15">
      <c r="A17" s="93"/>
      <c r="B17" s="93"/>
      <c r="C17" s="93"/>
      <c r="D17" s="93"/>
      <c r="E17" s="73"/>
      <c r="F17" s="93"/>
      <c r="G17" s="93"/>
      <c r="H17" s="93"/>
      <c r="I17" s="93"/>
      <c r="J17" s="93"/>
      <c r="K17" s="93"/>
      <c r="L17" s="93"/>
      <c r="M17" s="93"/>
      <c r="N17" s="93"/>
      <c r="O17" s="5"/>
      <c r="P17" s="5"/>
    </row>
    <row r="18" spans="1:16">
      <c r="A18" s="93"/>
      <c r="B18" s="93"/>
      <c r="C18" s="93"/>
      <c r="D18" s="93"/>
      <c r="E18" s="73"/>
      <c r="F18" s="93"/>
      <c r="K18" s="93"/>
      <c r="L18" s="93"/>
      <c r="M18" s="93"/>
    </row>
    <row r="19" spans="1:16">
      <c r="A19" s="93"/>
      <c r="B19" s="93"/>
      <c r="C19" s="93"/>
      <c r="D19" s="414"/>
      <c r="E19" s="93"/>
      <c r="F19" s="93"/>
      <c r="K19" s="93"/>
      <c r="L19" s="93"/>
      <c r="M19" s="93"/>
    </row>
    <row r="20" spans="1:16" ht="15">
      <c r="A20" s="93"/>
      <c r="B20" s="93"/>
      <c r="C20" s="93"/>
      <c r="D20" s="93"/>
      <c r="E20" s="16"/>
      <c r="K20" s="93"/>
      <c r="L20" s="93"/>
      <c r="M20" s="93"/>
      <c r="O20" s="15"/>
      <c r="P20" s="15"/>
    </row>
    <row r="21" spans="1:16" s="15" customFormat="1" ht="15">
      <c r="A21" s="58"/>
      <c r="B21" s="5"/>
      <c r="C21" s="4"/>
      <c r="D21" s="5"/>
      <c r="E21" s="126"/>
      <c r="F21" s="5"/>
      <c r="G21" s="93"/>
      <c r="H21" s="93"/>
      <c r="I21" s="93"/>
      <c r="J21" s="93"/>
      <c r="K21" s="93"/>
      <c r="L21" s="93"/>
      <c r="M21" s="93"/>
      <c r="N21" s="93"/>
      <c r="O21" s="5"/>
      <c r="P21" s="5"/>
    </row>
    <row r="22" spans="1:16" ht="15">
      <c r="K22" s="93"/>
      <c r="L22" s="93"/>
      <c r="M22" s="93"/>
      <c r="O22" s="57"/>
      <c r="P22" s="57"/>
    </row>
    <row r="23" spans="1:16" s="57" customFormat="1" ht="15">
      <c r="A23" s="5"/>
      <c r="B23" s="5"/>
      <c r="C23" s="4"/>
      <c r="D23" s="5"/>
      <c r="E23" s="5"/>
      <c r="F23" s="5"/>
      <c r="G23" s="93"/>
      <c r="H23" s="93"/>
      <c r="I23" s="93"/>
      <c r="J23" s="93"/>
      <c r="K23" s="93"/>
      <c r="L23" s="93"/>
      <c r="M23" s="93"/>
      <c r="N23" s="93"/>
      <c r="O23" s="5"/>
      <c r="P23" s="5"/>
    </row>
    <row r="24" spans="1:16">
      <c r="K24" s="93"/>
      <c r="L24" s="93"/>
      <c r="M24" s="93"/>
    </row>
    <row r="25" spans="1:16">
      <c r="K25" s="93"/>
      <c r="L25" s="93"/>
      <c r="M25" s="93"/>
    </row>
    <row r="26" spans="1:16">
      <c r="K26" s="93"/>
      <c r="L26" s="93"/>
      <c r="M26" s="93"/>
    </row>
    <row r="27" spans="1:16">
      <c r="K27" s="93"/>
      <c r="L27" s="93"/>
      <c r="M27" s="93"/>
    </row>
    <row r="28" spans="1:16">
      <c r="K28" s="93"/>
      <c r="L28" s="93"/>
      <c r="M28" s="93"/>
    </row>
    <row r="29" spans="1:16">
      <c r="K29" s="93"/>
      <c r="L29" s="93"/>
      <c r="M29" s="93"/>
    </row>
    <row r="30" spans="1:16">
      <c r="K30" s="93"/>
      <c r="L30" s="93"/>
      <c r="M30" s="93"/>
      <c r="O30" s="93"/>
      <c r="P30" s="93"/>
    </row>
    <row r="31" spans="1:16" s="93" customFormat="1">
      <c r="A31" s="5"/>
      <c r="B31" s="5"/>
      <c r="C31" s="4"/>
      <c r="D31" s="5"/>
      <c r="E31" s="5"/>
      <c r="F31" s="5"/>
    </row>
    <row r="32" spans="1:16" s="93" customFormat="1">
      <c r="A32" s="5"/>
      <c r="B32" s="5"/>
      <c r="C32" s="4"/>
      <c r="D32" s="5"/>
      <c r="E32" s="5"/>
      <c r="F32" s="5"/>
    </row>
    <row r="33" spans="1:16" s="93" customFormat="1">
      <c r="A33" s="5"/>
      <c r="B33" s="5"/>
      <c r="C33" s="4"/>
      <c r="D33" s="5"/>
      <c r="E33" s="5"/>
      <c r="F33" s="5"/>
      <c r="K33" s="5"/>
      <c r="L33" s="5"/>
      <c r="M33" s="5"/>
      <c r="O33" s="5"/>
      <c r="P33" s="5"/>
    </row>
  </sheetData>
  <protectedRanges>
    <protectedRange sqref="E6:F6" name="Intervalo6_1"/>
    <protectedRange sqref="F5" name="Intervalo4_1"/>
  </protectedRanges>
  <mergeCells count="31">
    <mergeCell ref="O14:O15"/>
    <mergeCell ref="A1:P2"/>
    <mergeCell ref="E14:E15"/>
    <mergeCell ref="A14:B15"/>
    <mergeCell ref="C14:C15"/>
    <mergeCell ref="D14:D15"/>
    <mergeCell ref="A12:A13"/>
    <mergeCell ref="B12:B13"/>
    <mergeCell ref="C12:C13"/>
    <mergeCell ref="D12:D13"/>
    <mergeCell ref="F14:F15"/>
    <mergeCell ref="G14:G15"/>
    <mergeCell ref="H14:H15"/>
    <mergeCell ref="I14:I15"/>
    <mergeCell ref="J14:J15"/>
    <mergeCell ref="P14:P15"/>
    <mergeCell ref="K14:K15"/>
    <mergeCell ref="A3:F3"/>
    <mergeCell ref="B8:B9"/>
    <mergeCell ref="A8:A9"/>
    <mergeCell ref="C8:C9"/>
    <mergeCell ref="C10:C11"/>
    <mergeCell ref="A4:P4"/>
    <mergeCell ref="A5:P5"/>
    <mergeCell ref="B10:B11"/>
    <mergeCell ref="A10:A11"/>
    <mergeCell ref="D8:D9"/>
    <mergeCell ref="D10:D11"/>
    <mergeCell ref="L14:L15"/>
    <mergeCell ref="M14:M15"/>
    <mergeCell ref="N14:N15"/>
  </mergeCells>
  <conditionalFormatting sqref="A3:XFD3 A6:XFD7 A14 A10:D10 A12:D12 A8:D8 A1 Q1:XFD2 A4:A5 Q4:XFD5 E9:P9 E11:P11 E13:P13 A16:XFD1048576 Q8:XFD15 C14:P14">
    <cfRule type="expression" dxfId="0" priority="1">
      <formula>CELL("proteger",A1)=1</formula>
    </cfRule>
  </conditionalFormatting>
  <printOptions horizontalCentered="1"/>
  <pageMargins left="0.70866141732283472" right="0.70866141732283472" top="0.74803149606299213" bottom="0.74803149606299213" header="0.31496062992125984" footer="0.31496062992125984"/>
  <pageSetup paperSize="9" scale="47" fitToHeight="0" orientation="landscape" r:id="rId1"/>
  <headerFooter scaleWithDoc="0"/>
  <drawing r:id="rId2"/>
  <legacyDrawing r:id="rId3"/>
  <legacyDrawingHF r:id="rId4"/>
  <oleObjects>
    <mc:AlternateContent xmlns:mc="http://schemas.openxmlformats.org/markup-compatibility/2006">
      <mc:Choice Requires="x14">
        <oleObject progId="CorelDraw.Graphic.18" shapeId="32769" r:id="rId5">
          <objectPr defaultSize="0" autoPict="0" r:id="rId6">
            <anchor moveWithCells="1">
              <from>
                <xdr:col>5</xdr:col>
                <xdr:colOff>628650</xdr:colOff>
                <xdr:row>0</xdr:row>
                <xdr:rowOff>57150</xdr:rowOff>
              </from>
              <to>
                <xdr:col>6</xdr:col>
                <xdr:colOff>342900</xdr:colOff>
                <xdr:row>1</xdr:row>
                <xdr:rowOff>257175</xdr:rowOff>
              </to>
            </anchor>
          </objectPr>
        </oleObject>
      </mc:Choice>
      <mc:Fallback>
        <oleObject progId="CorelDraw.Graphic.18" shapeId="32769" r:id="rId5"/>
      </mc:Fallback>
    </mc:AlternateContent>
  </oleObjec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33B63B-669E-4E30-AB3C-C0D19B440EE1}">
  <sheetPr>
    <tabColor theme="4" tint="0.79998168889431442"/>
    <pageSetUpPr fitToPage="1"/>
  </sheetPr>
  <dimension ref="A1:B48"/>
  <sheetViews>
    <sheetView view="pageBreakPreview" topLeftCell="A10" zoomScaleNormal="100" zoomScaleSheetLayoutView="100" workbookViewId="0">
      <selection activeCell="G35" sqref="G35"/>
    </sheetView>
  </sheetViews>
  <sheetFormatPr defaultRowHeight="14.25"/>
  <cols>
    <col min="1" max="1" width="67.875" bestFit="1" customWidth="1"/>
    <col min="2" max="2" width="10.875" customWidth="1"/>
  </cols>
  <sheetData>
    <row r="1" spans="1:2" ht="69" customHeight="1" thickBot="1">
      <c r="A1" s="997" t="s">
        <v>685</v>
      </c>
      <c r="B1" s="997"/>
    </row>
    <row r="2" spans="1:2" ht="15" customHeight="1" thickBot="1">
      <c r="A2" s="152"/>
      <c r="B2" s="153"/>
    </row>
    <row r="3" spans="1:2" ht="15">
      <c r="A3" s="154" t="s">
        <v>714</v>
      </c>
      <c r="B3" s="155"/>
    </row>
    <row r="4" spans="1:2" ht="15">
      <c r="A4" s="156" t="s">
        <v>63</v>
      </c>
      <c r="B4" s="973">
        <v>0.2</v>
      </c>
    </row>
    <row r="5" spans="1:2" ht="15">
      <c r="A5" s="156" t="s">
        <v>64</v>
      </c>
      <c r="B5" s="973">
        <v>0.08</v>
      </c>
    </row>
    <row r="6" spans="1:2" ht="15">
      <c r="A6" s="156" t="s">
        <v>65</v>
      </c>
      <c r="B6" s="974">
        <v>0.01</v>
      </c>
    </row>
    <row r="7" spans="1:2" ht="15">
      <c r="A7" s="156" t="s">
        <v>66</v>
      </c>
      <c r="B7" s="974">
        <v>1.4999999999999999E-2</v>
      </c>
    </row>
    <row r="8" spans="1:2" ht="15">
      <c r="A8" s="156" t="s">
        <v>67</v>
      </c>
      <c r="B8" s="974">
        <v>2E-3</v>
      </c>
    </row>
    <row r="9" spans="1:2" ht="15">
      <c r="A9" s="156" t="s">
        <v>68</v>
      </c>
      <c r="B9" s="974">
        <v>2.5000000000000001E-2</v>
      </c>
    </row>
    <row r="10" spans="1:2" ht="15">
      <c r="A10" s="156" t="s">
        <v>692</v>
      </c>
      <c r="B10" s="974">
        <v>0.03</v>
      </c>
    </row>
    <row r="11" spans="1:2" ht="15">
      <c r="A11" s="156" t="s">
        <v>69</v>
      </c>
      <c r="B11" s="974">
        <v>6.0000000000000001E-3</v>
      </c>
    </row>
    <row r="12" spans="1:2" ht="15">
      <c r="A12" s="156" t="s">
        <v>693</v>
      </c>
      <c r="B12" s="974">
        <v>1.2E-2</v>
      </c>
    </row>
    <row r="13" spans="1:2" ht="15.75" thickBot="1">
      <c r="A13" s="157" t="s">
        <v>70</v>
      </c>
      <c r="B13" s="975">
        <f>ROUND(SUM(B4:B12),4)</f>
        <v>0.38</v>
      </c>
    </row>
    <row r="14" spans="1:2" ht="15.75" thickBot="1">
      <c r="A14" s="158"/>
      <c r="B14" s="159"/>
    </row>
    <row r="15" spans="1:2" ht="15">
      <c r="A15" s="154" t="s">
        <v>713</v>
      </c>
      <c r="B15" s="155"/>
    </row>
    <row r="16" spans="1:2" ht="15">
      <c r="A16" s="156" t="s">
        <v>694</v>
      </c>
      <c r="B16" s="974" t="s">
        <v>704</v>
      </c>
    </row>
    <row r="17" spans="1:2" ht="15">
      <c r="A17" s="156" t="s">
        <v>695</v>
      </c>
      <c r="B17" s="974" t="s">
        <v>704</v>
      </c>
    </row>
    <row r="18" spans="1:2" ht="15">
      <c r="A18" s="156" t="s">
        <v>698</v>
      </c>
      <c r="B18" s="974">
        <v>6.4999999999999997E-3</v>
      </c>
    </row>
    <row r="19" spans="1:2" ht="15">
      <c r="A19" s="156" t="s">
        <v>699</v>
      </c>
      <c r="B19" s="974">
        <v>8.3299999999999999E-2</v>
      </c>
    </row>
    <row r="20" spans="1:2" ht="15">
      <c r="A20" s="156" t="s">
        <v>700</v>
      </c>
      <c r="B20" s="974">
        <v>5.0000000000000001E-4</v>
      </c>
    </row>
    <row r="21" spans="1:2" ht="15">
      <c r="A21" s="156" t="s">
        <v>696</v>
      </c>
      <c r="B21" s="974">
        <v>5.5999999999999999E-3</v>
      </c>
    </row>
    <row r="22" spans="1:2" ht="15">
      <c r="A22" s="156" t="s">
        <v>697</v>
      </c>
      <c r="B22" s="974" t="s">
        <v>704</v>
      </c>
    </row>
    <row r="23" spans="1:2" ht="15">
      <c r="A23" s="156" t="s">
        <v>701</v>
      </c>
      <c r="B23" s="974">
        <v>6.9999999999999999E-4</v>
      </c>
    </row>
    <row r="24" spans="1:2" s="93" customFormat="1" ht="15">
      <c r="A24" s="972" t="s">
        <v>702</v>
      </c>
      <c r="B24" s="976">
        <v>0.1042</v>
      </c>
    </row>
    <row r="25" spans="1:2" s="93" customFormat="1" ht="15">
      <c r="A25" s="972" t="s">
        <v>703</v>
      </c>
      <c r="B25" s="976">
        <v>2.9999999999999997E-4</v>
      </c>
    </row>
    <row r="26" spans="1:2" ht="15.75" thickBot="1">
      <c r="A26" s="157" t="s">
        <v>71</v>
      </c>
      <c r="B26" s="975">
        <f>SUM(B16:B25)</f>
        <v>0.2011</v>
      </c>
    </row>
    <row r="27" spans="1:2" ht="15.75" thickBot="1">
      <c r="A27" s="158"/>
      <c r="B27" s="159"/>
    </row>
    <row r="28" spans="1:2" ht="15">
      <c r="A28" s="154" t="s">
        <v>712</v>
      </c>
      <c r="B28" s="160"/>
    </row>
    <row r="29" spans="1:2" ht="15">
      <c r="A29" s="156" t="s">
        <v>705</v>
      </c>
      <c r="B29" s="974">
        <v>4.4999999999999998E-2</v>
      </c>
    </row>
    <row r="30" spans="1:2" ht="15">
      <c r="A30" s="156" t="s">
        <v>706</v>
      </c>
      <c r="B30" s="974">
        <v>1.1000000000000001E-3</v>
      </c>
    </row>
    <row r="31" spans="1:2" ht="15">
      <c r="A31" s="156" t="s">
        <v>707</v>
      </c>
      <c r="B31" s="974">
        <v>7.0000000000000001E-3</v>
      </c>
    </row>
    <row r="32" spans="1:2" ht="15">
      <c r="A32" s="156" t="s">
        <v>708</v>
      </c>
      <c r="B32" s="974">
        <v>2.0899999999999998E-2</v>
      </c>
    </row>
    <row r="33" spans="1:2" s="93" customFormat="1" ht="15">
      <c r="A33" s="972" t="s">
        <v>709</v>
      </c>
      <c r="B33" s="976">
        <v>3.8E-3</v>
      </c>
    </row>
    <row r="34" spans="1:2" ht="15.75" thickBot="1">
      <c r="A34" s="157" t="s">
        <v>72</v>
      </c>
      <c r="B34" s="975">
        <f>SUM(B29:B33)</f>
        <v>7.7799999999999994E-2</v>
      </c>
    </row>
    <row r="35" spans="1:2" ht="15.75" thickBot="1">
      <c r="A35" s="158"/>
      <c r="B35" s="161"/>
    </row>
    <row r="36" spans="1:2" ht="15">
      <c r="A36" s="498" t="s">
        <v>711</v>
      </c>
      <c r="B36" s="160"/>
    </row>
    <row r="37" spans="1:2" ht="30">
      <c r="A37" s="977" t="s">
        <v>715</v>
      </c>
      <c r="B37" s="976">
        <v>7.6399999999999996E-2</v>
      </c>
    </row>
    <row r="38" spans="1:2" s="93" customFormat="1" ht="30">
      <c r="A38" s="978" t="s">
        <v>716</v>
      </c>
      <c r="B38" s="976">
        <v>4.0000000000000001E-3</v>
      </c>
    </row>
    <row r="39" spans="1:2" ht="15.75" thickBot="1">
      <c r="A39" s="157" t="s">
        <v>73</v>
      </c>
      <c r="B39" s="979">
        <f>SUM(B37:B38)</f>
        <v>8.0399999999999999E-2</v>
      </c>
    </row>
    <row r="40" spans="1:2" ht="15">
      <c r="A40" s="162"/>
      <c r="B40" s="163"/>
    </row>
    <row r="41" spans="1:2" ht="15.75" thickBot="1">
      <c r="A41" s="162"/>
      <c r="B41" s="163"/>
    </row>
    <row r="42" spans="1:2" ht="15">
      <c r="A42" s="164" t="s">
        <v>710</v>
      </c>
      <c r="B42" s="980">
        <f>TRUNC(B13+B26+B34+B39,4)</f>
        <v>0.73929999999999996</v>
      </c>
    </row>
    <row r="43" spans="1:2" ht="15.75" thickBot="1">
      <c r="A43" s="165"/>
      <c r="B43" s="166"/>
    </row>
    <row r="44" spans="1:2">
      <c r="A44" s="60"/>
      <c r="B44" s="59"/>
    </row>
    <row r="45" spans="1:2">
      <c r="B45" s="59"/>
    </row>
    <row r="46" spans="1:2">
      <c r="B46" s="59"/>
    </row>
    <row r="47" spans="1:2">
      <c r="B47" s="59"/>
    </row>
    <row r="48" spans="1:2">
      <c r="B48" s="59"/>
    </row>
  </sheetData>
  <protectedRanges>
    <protectedRange sqref="A47:A48" name="Intervalo5_2_1_1_1_2"/>
  </protectedRanges>
  <mergeCells count="1">
    <mergeCell ref="A1:B1"/>
  </mergeCells>
  <conditionalFormatting sqref="A1:XFD1048576">
    <cfRule type="expression" dxfId="51" priority="1">
      <formula>CELL("proteger",A1)=1</formula>
    </cfRule>
  </conditionalFormatting>
  <printOptions horizontalCentered="1"/>
  <pageMargins left="0.7" right="0.7" top="0.75" bottom="0.75" header="0.3" footer="0.3"/>
  <pageSetup paperSize="9" fitToHeight="0" orientation="portrait" r:id="rId1"/>
  <headerFooter scaleWithDoc="0"/>
  <drawing r:id="rId2"/>
  <legacyDrawing r:id="rId3"/>
  <legacyDrawingHF r:id="rId4"/>
  <oleObjects>
    <mc:AlternateContent xmlns:mc="http://schemas.openxmlformats.org/markup-compatibility/2006">
      <mc:Choice Requires="x14">
        <oleObject progId="CorelDraw.Graphic.18" shapeId="25601" r:id="rId5">
          <objectPr defaultSize="0" autoPict="0" r:id="rId6">
            <anchor moveWithCells="1">
              <from>
                <xdr:col>0</xdr:col>
                <xdr:colOff>1181100</xdr:colOff>
                <xdr:row>0</xdr:row>
                <xdr:rowOff>114300</xdr:rowOff>
              </from>
              <to>
                <xdr:col>0</xdr:col>
                <xdr:colOff>2095500</xdr:colOff>
                <xdr:row>0</xdr:row>
                <xdr:rowOff>800100</xdr:rowOff>
              </to>
            </anchor>
          </objectPr>
        </oleObject>
      </mc:Choice>
      <mc:Fallback>
        <oleObject progId="CorelDraw.Graphic.18" shapeId="25601" r:id="rId5"/>
      </mc:Fallback>
    </mc:AlternateContent>
  </oleObjec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E94A7A-247C-4151-907C-85A32BD83C0B}">
  <sheetPr>
    <tabColor theme="4" tint="0.79998168889431442"/>
    <pageSetUpPr fitToPage="1"/>
  </sheetPr>
  <dimension ref="A1:Q349"/>
  <sheetViews>
    <sheetView view="pageBreakPreview" topLeftCell="A10" zoomScaleNormal="100" zoomScaleSheetLayoutView="100" workbookViewId="0">
      <selection activeCell="J11" sqref="J11"/>
    </sheetView>
  </sheetViews>
  <sheetFormatPr defaultColWidth="9.125" defaultRowHeight="14.25"/>
  <cols>
    <col min="1" max="1" width="10.875" style="5" bestFit="1" customWidth="1"/>
    <col min="2" max="2" width="9.125" style="5"/>
    <col min="3" max="3" width="12.25" style="5" bestFit="1" customWidth="1"/>
    <col min="4" max="4" width="11.875" style="5" customWidth="1"/>
    <col min="5" max="5" width="12.75" style="5" customWidth="1"/>
    <col min="6" max="6" width="19.375" style="5" customWidth="1"/>
    <col min="7" max="7" width="10" style="5" bestFit="1" customWidth="1"/>
    <col min="8" max="9" width="9.125" style="5"/>
    <col min="10" max="10" width="10.375" style="5" customWidth="1"/>
    <col min="11" max="12" width="12.375" style="5" bestFit="1" customWidth="1"/>
    <col min="13" max="13" width="9.125" style="5"/>
    <col min="14" max="14" width="6.375" style="5" customWidth="1"/>
    <col min="15" max="16384" width="9.125" style="5"/>
  </cols>
  <sheetData>
    <row r="1" spans="1:11" ht="65.25" customHeight="1" thickBot="1">
      <c r="A1" s="1000" t="s">
        <v>74</v>
      </c>
      <c r="B1" s="1001"/>
      <c r="C1" s="1001"/>
      <c r="D1" s="1001"/>
      <c r="E1" s="1001"/>
      <c r="F1" s="1001"/>
      <c r="G1" s="1002"/>
    </row>
    <row r="2" spans="1:11" ht="7.5" customHeight="1">
      <c r="A2" s="167"/>
      <c r="B2" s="168"/>
      <c r="C2" s="168"/>
      <c r="D2" s="168"/>
      <c r="E2" s="168"/>
      <c r="F2" s="168"/>
      <c r="G2" s="169"/>
    </row>
    <row r="3" spans="1:11">
      <c r="A3" s="1003" t="s">
        <v>411</v>
      </c>
      <c r="B3" s="1004"/>
      <c r="C3" s="1004"/>
      <c r="D3" s="1004"/>
      <c r="E3" s="1004"/>
      <c r="F3" s="1004"/>
      <c r="G3" s="1005"/>
    </row>
    <row r="4" spans="1:11">
      <c r="A4" s="1006" t="s">
        <v>75</v>
      </c>
      <c r="B4" s="1007"/>
      <c r="C4" s="1007"/>
      <c r="D4" s="1007"/>
      <c r="E4" s="170" t="s">
        <v>76</v>
      </c>
      <c r="F4" s="170" t="s">
        <v>77</v>
      </c>
      <c r="G4" s="171" t="s">
        <v>78</v>
      </c>
    </row>
    <row r="5" spans="1:11">
      <c r="A5" s="998" t="s">
        <v>79</v>
      </c>
      <c r="B5" s="999"/>
      <c r="C5" s="999"/>
      <c r="D5" s="999"/>
      <c r="E5" s="981">
        <v>4</v>
      </c>
      <c r="F5" s="868">
        <f>TRUNC(C77,2)</f>
        <v>64.650000000000006</v>
      </c>
      <c r="G5" s="866">
        <f t="shared" ref="G5:G11" si="0">ROUND(E5*F5,2)</f>
        <v>258.60000000000002</v>
      </c>
    </row>
    <row r="6" spans="1:11">
      <c r="A6" s="998" t="s">
        <v>80</v>
      </c>
      <c r="B6" s="999"/>
      <c r="C6" s="999"/>
      <c r="D6" s="999"/>
      <c r="E6" s="981">
        <v>4</v>
      </c>
      <c r="F6" s="868">
        <f>TRUNC(C123,2)</f>
        <v>74.13</v>
      </c>
      <c r="G6" s="866">
        <f t="shared" si="0"/>
        <v>296.52</v>
      </c>
    </row>
    <row r="7" spans="1:11">
      <c r="A7" s="998" t="s">
        <v>81</v>
      </c>
      <c r="B7" s="999"/>
      <c r="C7" s="999"/>
      <c r="D7" s="999"/>
      <c r="E7" s="981">
        <f>1*2</f>
        <v>2</v>
      </c>
      <c r="F7" s="868">
        <f>TRUNC(C167,2)</f>
        <v>19.05</v>
      </c>
      <c r="G7" s="866">
        <f t="shared" si="0"/>
        <v>38.1</v>
      </c>
    </row>
    <row r="8" spans="1:11">
      <c r="A8" s="998" t="s">
        <v>82</v>
      </c>
      <c r="B8" s="999"/>
      <c r="C8" s="999"/>
      <c r="D8" s="999"/>
      <c r="E8" s="981">
        <v>2</v>
      </c>
      <c r="F8" s="868">
        <f>TRUNC(C211,2)</f>
        <v>63.74</v>
      </c>
      <c r="G8" s="866">
        <f t="shared" si="0"/>
        <v>127.48</v>
      </c>
    </row>
    <row r="9" spans="1:11">
      <c r="A9" s="998" t="s">
        <v>83</v>
      </c>
      <c r="B9" s="999"/>
      <c r="C9" s="999"/>
      <c r="D9" s="999"/>
      <c r="E9" s="982">
        <v>1</v>
      </c>
      <c r="F9" s="868">
        <f>TRUNC(C256,2)</f>
        <v>25.06</v>
      </c>
      <c r="G9" s="866">
        <f t="shared" si="0"/>
        <v>25.06</v>
      </c>
    </row>
    <row r="10" spans="1:11">
      <c r="A10" s="1014" t="s">
        <v>88</v>
      </c>
      <c r="B10" s="1015"/>
      <c r="C10" s="1015"/>
      <c r="D10" s="1016"/>
      <c r="E10" s="981">
        <v>6</v>
      </c>
      <c r="F10" s="869">
        <f>TRUNC(C301,2)</f>
        <v>10.46</v>
      </c>
      <c r="G10" s="866">
        <f t="shared" si="0"/>
        <v>62.76</v>
      </c>
    </row>
    <row r="11" spans="1:11">
      <c r="A11" s="1008" t="s">
        <v>84</v>
      </c>
      <c r="B11" s="1009"/>
      <c r="C11" s="1009"/>
      <c r="D11" s="1009"/>
      <c r="E11" s="983">
        <v>12</v>
      </c>
      <c r="F11" s="868">
        <f>TRUNC(C348,2)</f>
        <v>23.45</v>
      </c>
      <c r="G11" s="866">
        <f t="shared" si="0"/>
        <v>281.39999999999998</v>
      </c>
    </row>
    <row r="12" spans="1:11">
      <c r="A12" s="1012" t="s">
        <v>85</v>
      </c>
      <c r="B12" s="1013"/>
      <c r="C12" s="1013"/>
      <c r="D12" s="1013"/>
      <c r="E12" s="1013"/>
      <c r="F12" s="1013"/>
      <c r="G12" s="866">
        <f>SUM(G5:G11)</f>
        <v>1089.92</v>
      </c>
    </row>
    <row r="13" spans="1:11">
      <c r="A13" s="1010" t="s">
        <v>103</v>
      </c>
      <c r="B13" s="1011"/>
      <c r="C13" s="1011"/>
      <c r="D13" s="1011"/>
      <c r="E13" s="1011"/>
      <c r="F13" s="1011"/>
      <c r="G13" s="867">
        <f>ROUND(G12/12,2)</f>
        <v>90.83</v>
      </c>
      <c r="K13" s="58" t="s">
        <v>651</v>
      </c>
    </row>
    <row r="14" spans="1:11">
      <c r="A14" s="1010" t="s">
        <v>102</v>
      </c>
      <c r="B14" s="1011"/>
      <c r="C14" s="1011"/>
      <c r="D14" s="1011"/>
      <c r="E14" s="1011"/>
      <c r="F14" s="1011"/>
      <c r="G14" s="867">
        <f>SUM(G5:G10)/12</f>
        <v>67.376666666666665</v>
      </c>
    </row>
    <row r="15" spans="1:11">
      <c r="A15" s="172"/>
      <c r="B15" s="173"/>
      <c r="C15" s="173"/>
      <c r="D15" s="173"/>
      <c r="E15" s="173"/>
      <c r="F15" s="173"/>
      <c r="G15" s="174"/>
    </row>
    <row r="16" spans="1:11">
      <c r="A16" s="1026" t="s">
        <v>491</v>
      </c>
      <c r="B16" s="1027"/>
      <c r="C16" s="1027"/>
      <c r="D16" s="1027"/>
      <c r="E16" s="1027"/>
      <c r="F16" s="1027"/>
      <c r="G16" s="1028"/>
    </row>
    <row r="17" spans="1:16">
      <c r="A17" s="1029" t="s">
        <v>75</v>
      </c>
      <c r="B17" s="1030"/>
      <c r="C17" s="1030"/>
      <c r="D17" s="1031"/>
      <c r="E17" s="170" t="s">
        <v>76</v>
      </c>
      <c r="F17" s="175" t="s">
        <v>77</v>
      </c>
      <c r="G17" s="171" t="s">
        <v>78</v>
      </c>
    </row>
    <row r="18" spans="1:16">
      <c r="A18" s="1014" t="s">
        <v>86</v>
      </c>
      <c r="B18" s="1015"/>
      <c r="C18" s="1015"/>
      <c r="D18" s="1016"/>
      <c r="E18" s="981">
        <v>4</v>
      </c>
      <c r="F18" s="869">
        <f>TRUNC(C77,2)</f>
        <v>64.650000000000006</v>
      </c>
      <c r="G18" s="866">
        <f t="shared" ref="G18:G24" si="1">ROUND(E18*F18,2)</f>
        <v>258.60000000000002</v>
      </c>
    </row>
    <row r="19" spans="1:16">
      <c r="A19" s="1014" t="s">
        <v>80</v>
      </c>
      <c r="B19" s="1015"/>
      <c r="C19" s="1015"/>
      <c r="D19" s="1016"/>
      <c r="E19" s="981">
        <v>4</v>
      </c>
      <c r="F19" s="869">
        <f>TRUNC(C123,2)</f>
        <v>74.13</v>
      </c>
      <c r="G19" s="866">
        <f t="shared" si="1"/>
        <v>296.52</v>
      </c>
    </row>
    <row r="20" spans="1:16">
      <c r="A20" s="1014" t="s">
        <v>81</v>
      </c>
      <c r="B20" s="1015"/>
      <c r="C20" s="1015"/>
      <c r="D20" s="1016"/>
      <c r="E20" s="981">
        <v>2</v>
      </c>
      <c r="F20" s="869">
        <f>TRUNC(C167,2)</f>
        <v>19.05</v>
      </c>
      <c r="G20" s="866">
        <f t="shared" si="1"/>
        <v>38.1</v>
      </c>
    </row>
    <row r="21" spans="1:16">
      <c r="A21" s="1014" t="s">
        <v>82</v>
      </c>
      <c r="B21" s="1015"/>
      <c r="C21" s="1015"/>
      <c r="D21" s="1016"/>
      <c r="E21" s="981">
        <v>2</v>
      </c>
      <c r="F21" s="869">
        <f>TRUNC(C211,2)</f>
        <v>63.74</v>
      </c>
      <c r="G21" s="866">
        <f t="shared" si="1"/>
        <v>127.48</v>
      </c>
    </row>
    <row r="22" spans="1:16">
      <c r="A22" s="1014" t="s">
        <v>87</v>
      </c>
      <c r="B22" s="1015"/>
      <c r="C22" s="1015"/>
      <c r="D22" s="1016"/>
      <c r="E22" s="981">
        <f>1*1</f>
        <v>1</v>
      </c>
      <c r="F22" s="869">
        <f>TRUNC(C256,2)</f>
        <v>25.06</v>
      </c>
      <c r="G22" s="866">
        <f t="shared" si="1"/>
        <v>25.06</v>
      </c>
    </row>
    <row r="23" spans="1:16">
      <c r="A23" s="1014" t="s">
        <v>88</v>
      </c>
      <c r="B23" s="1015"/>
      <c r="C23" s="1015"/>
      <c r="D23" s="1016"/>
      <c r="E23" s="981">
        <v>52</v>
      </c>
      <c r="F23" s="869">
        <f>TRUNC(C301,2)</f>
        <v>10.46</v>
      </c>
      <c r="G23" s="866">
        <f t="shared" si="1"/>
        <v>543.91999999999996</v>
      </c>
    </row>
    <row r="24" spans="1:16">
      <c r="A24" s="1023" t="s">
        <v>89</v>
      </c>
      <c r="B24" s="1024"/>
      <c r="C24" s="1024"/>
      <c r="D24" s="1025"/>
      <c r="E24" s="983">
        <v>12</v>
      </c>
      <c r="F24" s="868">
        <f>TRUNC(C348,2)</f>
        <v>23.45</v>
      </c>
      <c r="G24" s="866">
        <f t="shared" si="1"/>
        <v>281.39999999999998</v>
      </c>
    </row>
    <row r="25" spans="1:16">
      <c r="A25" s="1019" t="s">
        <v>85</v>
      </c>
      <c r="B25" s="1020"/>
      <c r="C25" s="1020"/>
      <c r="D25" s="1020"/>
      <c r="E25" s="1020"/>
      <c r="F25" s="1020"/>
      <c r="G25" s="867">
        <f>SUM(G18:G24)</f>
        <v>1571.08</v>
      </c>
    </row>
    <row r="26" spans="1:16">
      <c r="A26" s="1021" t="s">
        <v>103</v>
      </c>
      <c r="B26" s="1022"/>
      <c r="C26" s="1022"/>
      <c r="D26" s="1022"/>
      <c r="E26" s="1022"/>
      <c r="F26" s="1022"/>
      <c r="G26" s="867">
        <f>ROUND(G25/12,2)</f>
        <v>130.91999999999999</v>
      </c>
    </row>
    <row r="27" spans="1:16" ht="15" thickBot="1">
      <c r="A27" s="1017" t="s">
        <v>102</v>
      </c>
      <c r="B27" s="1018"/>
      <c r="C27" s="1018"/>
      <c r="D27" s="1018"/>
      <c r="E27" s="1018"/>
      <c r="F27" s="1018"/>
      <c r="G27" s="870">
        <f>SUM(G18:G23)/12</f>
        <v>107.47333333333331</v>
      </c>
    </row>
    <row r="28" spans="1:16" ht="15" thickBot="1">
      <c r="A28" s="871"/>
      <c r="B28" s="872"/>
      <c r="C28" s="872"/>
      <c r="D28" s="872"/>
      <c r="E28" s="872"/>
      <c r="F28" s="872"/>
      <c r="G28" s="873"/>
    </row>
    <row r="29" spans="1:16" ht="15.75" thickBot="1">
      <c r="A29" s="1039" t="s">
        <v>686</v>
      </c>
      <c r="B29" s="1040"/>
      <c r="C29" s="1040"/>
      <c r="D29" s="1040"/>
      <c r="E29" s="1040"/>
      <c r="F29" s="1040"/>
      <c r="G29" s="1041"/>
    </row>
    <row r="30" spans="1:16" ht="15.75" thickBot="1">
      <c r="A30" s="1039" t="s">
        <v>79</v>
      </c>
      <c r="B30" s="1040"/>
      <c r="C30" s="1040"/>
      <c r="D30" s="1040"/>
      <c r="E30" s="1040"/>
      <c r="F30" s="1040"/>
      <c r="G30" s="1041"/>
    </row>
    <row r="31" spans="1:16">
      <c r="A31" s="80"/>
      <c r="B31" s="81"/>
      <c r="C31" s="81"/>
      <c r="D31" s="81"/>
      <c r="E31" s="81"/>
      <c r="F31" s="81"/>
      <c r="G31" s="82"/>
    </row>
    <row r="32" spans="1:16">
      <c r="A32" s="83"/>
      <c r="B32" s="865"/>
      <c r="C32" s="865"/>
      <c r="D32" s="865"/>
      <c r="E32" s="865"/>
      <c r="F32" s="865"/>
      <c r="G32" s="84"/>
      <c r="H32" s="865"/>
      <c r="I32" s="865"/>
      <c r="J32" s="865"/>
      <c r="K32" s="865"/>
      <c r="L32" s="865"/>
      <c r="M32" s="865"/>
      <c r="N32" s="865"/>
      <c r="O32" s="865"/>
      <c r="P32" s="865"/>
    </row>
    <row r="33" spans="1:16">
      <c r="A33" s="83"/>
      <c r="B33" s="865"/>
      <c r="C33" s="865"/>
      <c r="D33" s="865"/>
      <c r="E33" s="865"/>
      <c r="F33" s="865"/>
      <c r="G33" s="84"/>
      <c r="H33" s="865"/>
      <c r="I33" s="865"/>
      <c r="J33" s="865"/>
      <c r="K33" s="865"/>
      <c r="L33" s="865"/>
      <c r="M33" s="865"/>
      <c r="N33" s="865"/>
      <c r="O33" s="865"/>
      <c r="P33" s="865"/>
    </row>
    <row r="34" spans="1:16">
      <c r="A34" s="83"/>
      <c r="B34" s="865"/>
      <c r="C34" s="865"/>
      <c r="D34" s="865"/>
      <c r="E34" s="865"/>
      <c r="F34" s="865"/>
      <c r="G34" s="84"/>
      <c r="H34" s="865"/>
      <c r="I34" s="865"/>
      <c r="J34" s="865"/>
      <c r="K34" s="865"/>
      <c r="L34" s="865"/>
      <c r="M34" s="865"/>
      <c r="N34" s="865"/>
      <c r="O34" s="865"/>
      <c r="P34" s="865"/>
    </row>
    <row r="35" spans="1:16">
      <c r="A35" s="83"/>
      <c r="B35" s="865"/>
      <c r="C35" s="865"/>
      <c r="D35" s="865"/>
      <c r="E35" s="865"/>
      <c r="F35" s="865"/>
      <c r="G35" s="84"/>
      <c r="H35" s="865"/>
      <c r="I35" s="865"/>
      <c r="J35" s="865"/>
      <c r="K35" s="865"/>
      <c r="L35" s="865"/>
      <c r="M35" s="865"/>
      <c r="N35" s="865"/>
      <c r="O35" s="865"/>
      <c r="P35" s="865"/>
    </row>
    <row r="36" spans="1:16">
      <c r="A36" s="83"/>
      <c r="B36" s="865"/>
      <c r="C36" s="865"/>
      <c r="D36" s="865"/>
      <c r="E36" s="865"/>
      <c r="F36" s="865"/>
      <c r="G36" s="84"/>
      <c r="H36" s="865"/>
      <c r="I36" s="865"/>
      <c r="J36" s="865"/>
      <c r="K36" s="865"/>
      <c r="L36" s="865"/>
      <c r="M36" s="865"/>
      <c r="N36" s="865"/>
      <c r="O36" s="865"/>
      <c r="P36" s="865"/>
    </row>
    <row r="37" spans="1:16">
      <c r="A37" s="83"/>
      <c r="B37" s="865"/>
      <c r="C37" s="865"/>
      <c r="D37" s="865"/>
      <c r="E37" s="865"/>
      <c r="F37" s="865"/>
      <c r="G37" s="84"/>
      <c r="H37" s="865"/>
      <c r="I37" s="865"/>
      <c r="J37" s="865"/>
      <c r="K37" s="865"/>
      <c r="L37" s="865"/>
      <c r="M37" s="865"/>
      <c r="N37" s="865"/>
      <c r="O37" s="865"/>
      <c r="P37" s="865"/>
    </row>
    <row r="38" spans="1:16">
      <c r="A38" s="83"/>
      <c r="B38" s="865"/>
      <c r="C38" s="865"/>
      <c r="D38" s="865"/>
      <c r="E38" s="865"/>
      <c r="F38" s="865"/>
      <c r="G38" s="84"/>
      <c r="H38" s="865"/>
      <c r="I38" s="865"/>
      <c r="J38" s="865"/>
      <c r="K38" s="865"/>
      <c r="L38" s="865"/>
      <c r="M38" s="865"/>
      <c r="N38" s="865"/>
      <c r="O38" s="865"/>
      <c r="P38" s="865"/>
    </row>
    <row r="39" spans="1:16">
      <c r="A39" s="83"/>
      <c r="B39" s="865"/>
      <c r="C39" s="865"/>
      <c r="D39" s="865"/>
      <c r="E39" s="865"/>
      <c r="F39" s="865"/>
      <c r="G39" s="84"/>
      <c r="H39" s="865"/>
      <c r="I39" s="865"/>
      <c r="J39" s="865"/>
      <c r="K39" s="865"/>
      <c r="L39" s="865"/>
      <c r="M39" s="865"/>
      <c r="N39" s="865"/>
      <c r="O39" s="865"/>
      <c r="P39" s="865"/>
    </row>
    <row r="40" spans="1:16">
      <c r="A40" s="83"/>
      <c r="B40" s="865"/>
      <c r="C40" s="865"/>
      <c r="D40" s="865"/>
      <c r="E40" s="865"/>
      <c r="F40" s="865"/>
      <c r="G40" s="84"/>
      <c r="H40" s="865"/>
      <c r="I40" s="865"/>
      <c r="J40" s="865"/>
      <c r="K40" s="865"/>
      <c r="L40" s="865"/>
      <c r="M40" s="865"/>
      <c r="N40" s="865"/>
      <c r="O40" s="865"/>
      <c r="P40" s="865"/>
    </row>
    <row r="41" spans="1:16">
      <c r="A41" s="83"/>
      <c r="B41" s="865"/>
      <c r="C41" s="865"/>
      <c r="D41" s="865"/>
      <c r="E41" s="865"/>
      <c r="F41" s="865"/>
      <c r="G41" s="84"/>
      <c r="H41" s="865"/>
      <c r="I41" s="865"/>
      <c r="J41" s="865"/>
      <c r="K41" s="865"/>
      <c r="L41" s="865"/>
      <c r="M41" s="865"/>
      <c r="N41" s="865"/>
      <c r="O41" s="865"/>
      <c r="P41" s="865"/>
    </row>
    <row r="42" spans="1:16">
      <c r="A42" s="83"/>
      <c r="B42" s="865"/>
      <c r="C42" s="865"/>
      <c r="D42" s="865"/>
      <c r="E42" s="865"/>
      <c r="F42" s="865"/>
      <c r="G42" s="84"/>
      <c r="H42" s="865"/>
      <c r="I42" s="865"/>
      <c r="J42" s="865"/>
      <c r="K42" s="865"/>
      <c r="L42" s="865"/>
      <c r="M42" s="865"/>
      <c r="N42" s="865"/>
      <c r="O42" s="865"/>
      <c r="P42" s="865"/>
    </row>
    <row r="43" spans="1:16">
      <c r="A43" s="83"/>
      <c r="B43" s="865"/>
      <c r="C43" s="865"/>
      <c r="D43" s="865"/>
      <c r="E43" s="865"/>
      <c r="F43" s="865"/>
      <c r="G43" s="84"/>
      <c r="H43" s="865"/>
      <c r="I43" s="865"/>
      <c r="J43" s="865"/>
      <c r="K43" s="865"/>
      <c r="L43" s="865"/>
      <c r="M43" s="865"/>
      <c r="N43" s="865"/>
      <c r="O43" s="865"/>
      <c r="P43" s="865"/>
    </row>
    <row r="44" spans="1:16">
      <c r="A44" s="83"/>
      <c r="B44" s="865"/>
      <c r="C44" s="865"/>
      <c r="D44" s="865"/>
      <c r="E44" s="865"/>
      <c r="F44" s="865"/>
      <c r="G44" s="84"/>
      <c r="H44" s="865"/>
      <c r="I44" s="865"/>
      <c r="J44" s="865"/>
      <c r="K44" s="865"/>
      <c r="L44" s="865"/>
      <c r="M44" s="865"/>
      <c r="N44" s="865"/>
      <c r="O44" s="865"/>
      <c r="P44" s="865"/>
    </row>
    <row r="45" spans="1:16">
      <c r="A45" s="83"/>
      <c r="B45" s="865"/>
      <c r="C45" s="865"/>
      <c r="D45" s="865"/>
      <c r="E45" s="865"/>
      <c r="F45" s="865"/>
      <c r="G45" s="84"/>
      <c r="H45" s="865"/>
      <c r="I45" s="865"/>
      <c r="J45" s="865"/>
      <c r="K45" s="865"/>
      <c r="L45" s="865"/>
      <c r="M45" s="865"/>
      <c r="N45" s="865"/>
      <c r="O45" s="865"/>
      <c r="P45" s="865"/>
    </row>
    <row r="46" spans="1:16">
      <c r="A46" s="83"/>
      <c r="B46" s="865"/>
      <c r="C46" s="865"/>
      <c r="D46" s="865"/>
      <c r="E46" s="865"/>
      <c r="F46" s="865"/>
      <c r="G46" s="84"/>
      <c r="H46" s="865"/>
      <c r="I46" s="865"/>
      <c r="J46" s="865"/>
      <c r="K46" s="865"/>
      <c r="L46" s="865"/>
      <c r="M46" s="865"/>
      <c r="N46" s="865"/>
      <c r="O46" s="865"/>
      <c r="P46" s="865"/>
    </row>
    <row r="47" spans="1:16">
      <c r="A47" s="83"/>
      <c r="B47" s="865"/>
      <c r="C47" s="865"/>
      <c r="D47" s="865"/>
      <c r="E47" s="865"/>
      <c r="F47" s="865"/>
      <c r="G47" s="84"/>
      <c r="H47" s="865"/>
      <c r="I47" s="865"/>
      <c r="J47" s="865"/>
      <c r="K47" s="865"/>
      <c r="L47" s="865"/>
      <c r="M47" s="865"/>
      <c r="N47" s="865"/>
      <c r="O47" s="865"/>
      <c r="P47" s="865"/>
    </row>
    <row r="48" spans="1:16">
      <c r="A48" s="83"/>
      <c r="B48" s="865"/>
      <c r="C48" s="865"/>
      <c r="D48" s="865"/>
      <c r="E48" s="865"/>
      <c r="F48" s="865"/>
      <c r="G48" s="84"/>
      <c r="H48" s="865"/>
      <c r="I48" s="865"/>
      <c r="J48" s="865"/>
      <c r="K48" s="865"/>
      <c r="L48" s="865"/>
      <c r="M48" s="865"/>
      <c r="N48" s="865"/>
      <c r="O48" s="865"/>
      <c r="P48" s="865"/>
    </row>
    <row r="49" spans="1:16">
      <c r="A49" s="83"/>
      <c r="B49" s="865"/>
      <c r="C49" s="865"/>
      <c r="D49" s="865"/>
      <c r="E49" s="865"/>
      <c r="F49" s="865"/>
      <c r="G49" s="84"/>
      <c r="H49" s="865"/>
      <c r="I49" s="865"/>
      <c r="J49" s="865"/>
      <c r="K49" s="865"/>
      <c r="L49" s="865"/>
      <c r="M49" s="865"/>
      <c r="N49" s="865"/>
      <c r="O49" s="865"/>
      <c r="P49" s="865"/>
    </row>
    <row r="50" spans="1:16">
      <c r="A50" s="83"/>
      <c r="B50" s="865"/>
      <c r="C50" s="865"/>
      <c r="D50" s="865"/>
      <c r="E50" s="865"/>
      <c r="F50" s="865"/>
      <c r="G50" s="84"/>
      <c r="H50" s="865"/>
      <c r="I50" s="865"/>
      <c r="J50" s="865"/>
      <c r="K50" s="865"/>
      <c r="L50" s="865"/>
      <c r="M50" s="865"/>
      <c r="N50" s="865"/>
      <c r="O50" s="865"/>
      <c r="P50" s="865"/>
    </row>
    <row r="51" spans="1:16">
      <c r="A51" s="83"/>
      <c r="B51" s="865"/>
      <c r="C51" s="865"/>
      <c r="D51" s="865"/>
      <c r="E51" s="865"/>
      <c r="F51" s="865"/>
      <c r="G51" s="84"/>
      <c r="H51" s="865"/>
      <c r="I51" s="865"/>
      <c r="J51" s="865"/>
      <c r="K51" s="865"/>
      <c r="L51" s="865"/>
      <c r="M51" s="865"/>
      <c r="N51" s="865"/>
      <c r="O51" s="865"/>
      <c r="P51" s="865"/>
    </row>
    <row r="52" spans="1:16">
      <c r="A52" s="83"/>
      <c r="B52" s="865"/>
      <c r="C52" s="865"/>
      <c r="D52" s="865"/>
      <c r="E52" s="865"/>
      <c r="F52" s="865"/>
      <c r="G52" s="84"/>
      <c r="H52" s="865"/>
      <c r="I52" s="865"/>
      <c r="J52" s="865"/>
      <c r="K52" s="865"/>
      <c r="L52" s="865"/>
      <c r="M52" s="865"/>
      <c r="N52" s="865"/>
      <c r="O52" s="865"/>
      <c r="P52" s="865"/>
    </row>
    <row r="53" spans="1:16">
      <c r="A53" s="83"/>
      <c r="B53" s="865"/>
      <c r="C53" s="865"/>
      <c r="D53" s="865"/>
      <c r="E53" s="865"/>
      <c r="F53" s="865"/>
      <c r="G53" s="84"/>
      <c r="H53" s="865"/>
      <c r="I53" s="865"/>
      <c r="J53" s="865"/>
      <c r="K53" s="865"/>
      <c r="L53" s="865"/>
      <c r="M53" s="865"/>
      <c r="N53" s="865"/>
      <c r="O53" s="865"/>
      <c r="P53" s="865"/>
    </row>
    <row r="54" spans="1:16">
      <c r="A54" s="83"/>
      <c r="B54" s="865"/>
      <c r="C54" s="865"/>
      <c r="D54" s="865"/>
      <c r="E54" s="865"/>
      <c r="F54" s="865"/>
      <c r="G54" s="84"/>
      <c r="H54" s="865"/>
      <c r="I54" s="865"/>
      <c r="J54" s="865"/>
      <c r="K54" s="865"/>
      <c r="L54" s="865"/>
      <c r="M54" s="865"/>
      <c r="N54" s="865"/>
      <c r="O54" s="865"/>
      <c r="P54" s="865"/>
    </row>
    <row r="55" spans="1:16">
      <c r="A55" s="83"/>
      <c r="B55" s="865"/>
      <c r="C55" s="865"/>
      <c r="D55" s="865"/>
      <c r="E55" s="865"/>
      <c r="F55" s="865"/>
      <c r="G55" s="84"/>
      <c r="H55" s="865"/>
      <c r="I55" s="865"/>
      <c r="J55" s="865"/>
      <c r="K55" s="865"/>
      <c r="L55" s="865"/>
      <c r="M55" s="865"/>
      <c r="N55" s="865"/>
      <c r="O55" s="865"/>
      <c r="P55" s="865"/>
    </row>
    <row r="56" spans="1:16">
      <c r="A56" s="83"/>
      <c r="B56" s="865"/>
      <c r="C56" s="865"/>
      <c r="D56" s="865"/>
      <c r="E56" s="865"/>
      <c r="F56" s="865"/>
      <c r="G56" s="84"/>
      <c r="H56" s="865"/>
      <c r="I56" s="865"/>
      <c r="J56" s="865"/>
      <c r="K56" s="865"/>
      <c r="L56" s="865"/>
      <c r="M56" s="865"/>
      <c r="N56" s="865"/>
      <c r="O56" s="865"/>
      <c r="P56" s="865"/>
    </row>
    <row r="57" spans="1:16">
      <c r="A57" s="83"/>
      <c r="B57" s="865"/>
      <c r="C57" s="865"/>
      <c r="D57" s="865"/>
      <c r="E57" s="865"/>
      <c r="F57" s="865"/>
      <c r="G57" s="84"/>
      <c r="H57" s="865"/>
      <c r="I57" s="865"/>
      <c r="J57" s="865"/>
      <c r="K57" s="865"/>
      <c r="L57" s="865"/>
      <c r="M57" s="865"/>
      <c r="N57" s="865"/>
      <c r="O57" s="865"/>
      <c r="P57" s="865"/>
    </row>
    <row r="58" spans="1:16">
      <c r="A58" s="83"/>
      <c r="B58" s="865"/>
      <c r="C58" s="865"/>
      <c r="D58" s="865"/>
      <c r="E58" s="865"/>
      <c r="F58" s="865"/>
      <c r="G58" s="84"/>
      <c r="H58" s="865"/>
      <c r="I58" s="865"/>
      <c r="J58" s="865"/>
      <c r="K58" s="865"/>
      <c r="L58" s="865"/>
      <c r="M58" s="865"/>
      <c r="N58" s="865"/>
      <c r="O58" s="865"/>
      <c r="P58" s="865"/>
    </row>
    <row r="59" spans="1:16">
      <c r="A59" s="83"/>
      <c r="B59" s="865"/>
      <c r="C59" s="865"/>
      <c r="D59" s="865"/>
      <c r="E59" s="865"/>
      <c r="F59" s="865"/>
      <c r="G59" s="84"/>
      <c r="H59" s="865"/>
      <c r="I59" s="865"/>
      <c r="J59" s="865"/>
      <c r="K59" s="865"/>
      <c r="L59" s="865"/>
      <c r="M59" s="865"/>
      <c r="N59" s="865"/>
      <c r="O59" s="865"/>
      <c r="P59" s="865"/>
    </row>
    <row r="60" spans="1:16">
      <c r="A60" s="83"/>
      <c r="B60" s="865"/>
      <c r="C60" s="865"/>
      <c r="D60" s="865"/>
      <c r="E60" s="865"/>
      <c r="F60" s="865"/>
      <c r="G60" s="84"/>
      <c r="H60" s="865"/>
      <c r="I60" s="865"/>
      <c r="J60" s="865"/>
      <c r="K60" s="865"/>
      <c r="L60" s="865"/>
      <c r="M60" s="865"/>
      <c r="N60" s="865"/>
      <c r="O60" s="865"/>
      <c r="P60" s="865"/>
    </row>
    <row r="61" spans="1:16">
      <c r="A61" s="83"/>
      <c r="B61" s="865"/>
      <c r="C61" s="865"/>
      <c r="D61" s="865"/>
      <c r="E61" s="865"/>
      <c r="F61" s="865"/>
      <c r="G61" s="84"/>
      <c r="H61" s="865"/>
      <c r="I61" s="865"/>
      <c r="J61" s="865"/>
      <c r="K61" s="865"/>
      <c r="L61" s="865"/>
      <c r="M61" s="865"/>
      <c r="N61" s="865"/>
      <c r="O61" s="865"/>
      <c r="P61" s="865"/>
    </row>
    <row r="62" spans="1:16">
      <c r="A62" s="83"/>
      <c r="B62" s="865"/>
      <c r="C62" s="865"/>
      <c r="D62" s="865"/>
      <c r="E62" s="865"/>
      <c r="F62" s="865"/>
      <c r="G62" s="84"/>
      <c r="H62" s="865"/>
      <c r="I62" s="865"/>
      <c r="J62" s="865"/>
      <c r="K62" s="865"/>
      <c r="L62" s="865"/>
      <c r="M62" s="865"/>
      <c r="N62" s="865"/>
      <c r="O62" s="865"/>
      <c r="P62" s="865"/>
    </row>
    <row r="63" spans="1:16">
      <c r="A63" s="83"/>
      <c r="B63" s="865"/>
      <c r="C63" s="865"/>
      <c r="D63" s="865"/>
      <c r="E63" s="865"/>
      <c r="F63" s="865"/>
      <c r="G63" s="84"/>
      <c r="H63" s="865"/>
      <c r="I63" s="865"/>
      <c r="J63" s="865"/>
      <c r="K63" s="865"/>
      <c r="L63" s="865"/>
      <c r="M63" s="865"/>
      <c r="N63" s="865"/>
      <c r="O63" s="865"/>
      <c r="P63" s="865"/>
    </row>
    <row r="64" spans="1:16">
      <c r="A64" s="83"/>
      <c r="B64" s="865"/>
      <c r="C64" s="865"/>
      <c r="D64" s="865"/>
      <c r="E64" s="865"/>
      <c r="F64" s="865"/>
      <c r="G64" s="84"/>
      <c r="H64" s="865"/>
      <c r="I64" s="865"/>
      <c r="J64" s="865"/>
      <c r="K64" s="865"/>
      <c r="L64" s="865"/>
      <c r="M64" s="865"/>
      <c r="N64" s="865"/>
      <c r="O64" s="865"/>
      <c r="P64" s="865"/>
    </row>
    <row r="65" spans="1:16">
      <c r="A65" s="83"/>
      <c r="B65" s="865"/>
      <c r="C65" s="865"/>
      <c r="D65" s="865"/>
      <c r="E65" s="865"/>
      <c r="F65" s="865"/>
      <c r="G65" s="84"/>
      <c r="H65" s="865"/>
      <c r="I65" s="865"/>
      <c r="J65" s="865"/>
      <c r="K65" s="865"/>
      <c r="L65" s="865"/>
      <c r="M65" s="865"/>
      <c r="N65" s="865"/>
      <c r="O65" s="865"/>
      <c r="P65" s="865"/>
    </row>
    <row r="66" spans="1:16">
      <c r="A66" s="83"/>
      <c r="B66" s="865"/>
      <c r="C66" s="865"/>
      <c r="D66" s="865"/>
      <c r="E66" s="865"/>
      <c r="F66" s="865"/>
      <c r="G66" s="84"/>
      <c r="H66" s="865"/>
      <c r="I66" s="865"/>
      <c r="J66" s="865"/>
      <c r="K66" s="865"/>
      <c r="L66" s="865"/>
      <c r="M66" s="865"/>
      <c r="N66" s="865"/>
      <c r="O66" s="865"/>
      <c r="P66" s="865"/>
    </row>
    <row r="67" spans="1:16">
      <c r="A67" s="83"/>
      <c r="B67" s="865"/>
      <c r="C67" s="865"/>
      <c r="D67" s="865"/>
      <c r="E67" s="865"/>
      <c r="F67" s="865"/>
      <c r="G67" s="84"/>
      <c r="H67" s="865"/>
      <c r="I67" s="865"/>
      <c r="J67" s="865"/>
      <c r="K67" s="865"/>
      <c r="L67" s="865"/>
      <c r="M67" s="865"/>
      <c r="N67" s="865"/>
      <c r="O67" s="865"/>
      <c r="P67" s="865"/>
    </row>
    <row r="68" spans="1:16">
      <c r="A68" s="83"/>
      <c r="B68" s="865"/>
      <c r="C68" s="865"/>
      <c r="D68" s="865"/>
      <c r="E68" s="865"/>
      <c r="F68" s="865"/>
      <c r="G68" s="84"/>
      <c r="H68" s="865"/>
      <c r="I68" s="865"/>
      <c r="J68" s="865"/>
      <c r="K68" s="865"/>
      <c r="L68" s="865"/>
      <c r="M68" s="865"/>
      <c r="N68" s="865"/>
      <c r="O68" s="865"/>
      <c r="P68" s="865"/>
    </row>
    <row r="69" spans="1:16">
      <c r="A69" s="83"/>
      <c r="B69" s="865"/>
      <c r="C69" s="865"/>
      <c r="D69" s="865"/>
      <c r="E69" s="865"/>
      <c r="F69" s="865"/>
      <c r="G69" s="84"/>
      <c r="H69" s="865"/>
      <c r="I69" s="865"/>
      <c r="J69" s="865"/>
      <c r="K69" s="865"/>
      <c r="L69" s="865"/>
      <c r="M69" s="865"/>
      <c r="N69" s="865"/>
      <c r="O69" s="865"/>
      <c r="P69" s="865"/>
    </row>
    <row r="70" spans="1:16">
      <c r="A70" s="83"/>
      <c r="B70" s="865"/>
      <c r="C70" s="865"/>
      <c r="D70" s="865"/>
      <c r="E70" s="865"/>
      <c r="F70" s="865"/>
      <c r="G70" s="84"/>
      <c r="H70" s="865"/>
      <c r="I70" s="865"/>
      <c r="J70" s="865"/>
      <c r="K70" s="865"/>
      <c r="L70" s="865"/>
      <c r="M70" s="865"/>
      <c r="N70" s="865"/>
      <c r="O70" s="865"/>
      <c r="P70" s="865"/>
    </row>
    <row r="71" spans="1:16">
      <c r="A71" s="83"/>
      <c r="B71" s="865"/>
      <c r="C71" s="865"/>
      <c r="D71" s="865"/>
      <c r="E71" s="865"/>
      <c r="F71" s="865"/>
      <c r="G71" s="84"/>
      <c r="H71" s="865"/>
      <c r="I71" s="865"/>
      <c r="J71" s="865"/>
      <c r="K71" s="865"/>
      <c r="L71" s="865"/>
      <c r="M71" s="865"/>
      <c r="N71" s="865"/>
      <c r="O71" s="865"/>
      <c r="P71" s="865"/>
    </row>
    <row r="72" spans="1:16">
      <c r="A72" s="83"/>
      <c r="B72" s="865"/>
      <c r="C72" s="865"/>
      <c r="D72" s="865"/>
      <c r="E72" s="865"/>
      <c r="F72" s="865"/>
      <c r="G72" s="84"/>
      <c r="H72" s="865"/>
      <c r="I72" s="865"/>
      <c r="J72" s="865"/>
      <c r="K72" s="865"/>
      <c r="L72" s="865"/>
      <c r="M72" s="865"/>
      <c r="N72" s="865"/>
      <c r="O72" s="865"/>
      <c r="P72" s="865"/>
    </row>
    <row r="73" spans="1:16">
      <c r="A73" s="83"/>
      <c r="B73" s="865"/>
      <c r="C73" s="865"/>
      <c r="D73" s="865"/>
      <c r="E73" s="865"/>
      <c r="F73" s="865"/>
      <c r="G73" s="84"/>
      <c r="H73" s="865"/>
      <c r="I73" s="865"/>
      <c r="J73" s="865"/>
      <c r="K73" s="865"/>
      <c r="L73" s="865"/>
      <c r="M73" s="865"/>
      <c r="N73" s="865"/>
      <c r="O73" s="865"/>
      <c r="P73" s="865"/>
    </row>
    <row r="74" spans="1:16">
      <c r="A74" s="83"/>
      <c r="B74" s="865"/>
      <c r="C74" s="1032" t="s">
        <v>204</v>
      </c>
      <c r="D74" s="1032"/>
      <c r="E74" s="1032"/>
      <c r="F74" s="865"/>
      <c r="G74" s="84"/>
      <c r="H74" s="865"/>
      <c r="I74" s="865"/>
      <c r="J74" s="865"/>
      <c r="K74" s="865"/>
      <c r="L74" s="865"/>
      <c r="M74" s="865"/>
      <c r="N74" s="865"/>
      <c r="O74" s="865"/>
      <c r="P74" s="865"/>
    </row>
    <row r="75" spans="1:16">
      <c r="A75" s="83"/>
      <c r="B75" s="865"/>
      <c r="C75" s="85" t="s">
        <v>190</v>
      </c>
      <c r="D75" s="85" t="s">
        <v>191</v>
      </c>
      <c r="E75" s="85" t="s">
        <v>192</v>
      </c>
      <c r="F75" s="865"/>
      <c r="G75" s="84"/>
      <c r="H75" s="865"/>
      <c r="I75" s="865"/>
      <c r="J75" s="865"/>
      <c r="K75" s="865"/>
      <c r="L75" s="865"/>
      <c r="M75" s="865"/>
      <c r="N75" s="865"/>
      <c r="O75" s="865"/>
      <c r="P75" s="865"/>
    </row>
    <row r="76" spans="1:16">
      <c r="A76" s="83"/>
      <c r="B76" s="865"/>
      <c r="C76" s="86">
        <v>74.989999999999995</v>
      </c>
      <c r="D76" s="86">
        <v>59.98</v>
      </c>
      <c r="E76" s="86">
        <v>59</v>
      </c>
      <c r="F76" s="865"/>
      <c r="G76" s="84"/>
      <c r="H76" s="865"/>
      <c r="I76" s="865"/>
      <c r="J76" s="865"/>
      <c r="K76" s="865"/>
      <c r="L76" s="865"/>
      <c r="M76" s="865"/>
      <c r="N76" s="865"/>
      <c r="O76" s="865"/>
      <c r="P76" s="865"/>
    </row>
    <row r="77" spans="1:16" ht="15">
      <c r="A77" s="83"/>
      <c r="B77" s="865"/>
      <c r="C77" s="1033">
        <f>(C76+D76+E76)/3</f>
        <v>64.656666666666666</v>
      </c>
      <c r="D77" s="1034"/>
      <c r="E77" s="1035"/>
      <c r="F77" s="865"/>
      <c r="G77" s="84"/>
      <c r="H77" s="865"/>
      <c r="I77" s="865"/>
      <c r="J77" s="865"/>
      <c r="K77" s="865"/>
      <c r="L77" s="865"/>
      <c r="M77" s="865"/>
      <c r="N77" s="865"/>
      <c r="O77" s="865"/>
      <c r="P77" s="865"/>
    </row>
    <row r="78" spans="1:16" ht="15" thickBot="1">
      <c r="A78" s="87"/>
      <c r="B78" s="88"/>
      <c r="C78" s="88"/>
      <c r="D78" s="88"/>
      <c r="E78" s="88"/>
      <c r="F78" s="88"/>
      <c r="G78" s="89"/>
      <c r="H78" s="865"/>
      <c r="I78" s="865"/>
      <c r="J78" s="865"/>
      <c r="K78" s="865"/>
      <c r="L78" s="865"/>
      <c r="M78" s="865"/>
      <c r="N78" s="865"/>
      <c r="O78" s="865"/>
      <c r="P78" s="865"/>
    </row>
    <row r="79" spans="1:16" ht="15" thickBot="1">
      <c r="A79" s="871"/>
      <c r="B79" s="872"/>
      <c r="C79" s="872"/>
      <c r="D79" s="872"/>
      <c r="E79" s="872"/>
      <c r="F79" s="872"/>
      <c r="G79" s="873"/>
      <c r="H79" s="865"/>
      <c r="I79" s="865"/>
      <c r="J79" s="865"/>
      <c r="K79" s="865"/>
      <c r="L79" s="865"/>
      <c r="M79" s="865"/>
      <c r="N79" s="865"/>
      <c r="O79" s="865"/>
      <c r="P79" s="865"/>
    </row>
    <row r="80" spans="1:16" ht="15" thickBot="1">
      <c r="A80" s="1036" t="s">
        <v>687</v>
      </c>
      <c r="B80" s="1037"/>
      <c r="C80" s="1037"/>
      <c r="D80" s="1037"/>
      <c r="E80" s="1037"/>
      <c r="F80" s="1037"/>
      <c r="G80" s="1038"/>
      <c r="H80" s="865"/>
      <c r="I80" s="865"/>
      <c r="J80" s="865"/>
      <c r="K80" s="865"/>
      <c r="L80" s="865"/>
      <c r="M80" s="865"/>
      <c r="N80" s="865"/>
      <c r="O80" s="865"/>
      <c r="P80" s="865"/>
    </row>
    <row r="81" spans="1:16">
      <c r="A81" s="80"/>
      <c r="B81" s="81"/>
      <c r="C81" s="81"/>
      <c r="D81" s="81"/>
      <c r="E81" s="81"/>
      <c r="F81" s="81"/>
      <c r="G81" s="82"/>
      <c r="H81" s="865"/>
      <c r="I81" s="865"/>
      <c r="J81" s="865"/>
      <c r="K81" s="865"/>
      <c r="L81" s="865"/>
      <c r="M81" s="865"/>
      <c r="N81" s="865"/>
      <c r="O81" s="865"/>
      <c r="P81" s="865"/>
    </row>
    <row r="82" spans="1:16">
      <c r="A82" s="83"/>
      <c r="B82" s="865"/>
      <c r="C82" s="865"/>
      <c r="D82" s="865"/>
      <c r="E82" s="865"/>
      <c r="F82" s="865"/>
      <c r="G82" s="84"/>
      <c r="H82" s="865"/>
      <c r="I82" s="865"/>
      <c r="J82" s="865"/>
      <c r="K82" s="865"/>
      <c r="L82" s="865"/>
      <c r="M82" s="865"/>
      <c r="N82" s="865"/>
      <c r="O82" s="865"/>
      <c r="P82" s="865"/>
    </row>
    <row r="83" spans="1:16">
      <c r="A83" s="83"/>
      <c r="B83" s="865"/>
      <c r="C83" s="865"/>
      <c r="D83" s="865"/>
      <c r="E83" s="865"/>
      <c r="F83" s="865"/>
      <c r="G83" s="84"/>
      <c r="H83" s="865"/>
      <c r="I83" s="865"/>
      <c r="J83" s="865"/>
      <c r="K83" s="865"/>
      <c r="L83" s="865"/>
      <c r="M83" s="865"/>
      <c r="N83" s="865"/>
      <c r="O83" s="865"/>
      <c r="P83" s="865"/>
    </row>
    <row r="84" spans="1:16">
      <c r="A84" s="83"/>
      <c r="B84" s="865"/>
      <c r="C84" s="865"/>
      <c r="D84" s="865"/>
      <c r="E84" s="865"/>
      <c r="F84" s="865"/>
      <c r="G84" s="84"/>
      <c r="H84" s="865"/>
      <c r="I84" s="865"/>
      <c r="J84" s="865"/>
      <c r="K84" s="865"/>
      <c r="L84" s="865"/>
      <c r="M84" s="865"/>
      <c r="N84" s="865"/>
      <c r="O84" s="865"/>
      <c r="P84" s="865"/>
    </row>
    <row r="85" spans="1:16">
      <c r="A85" s="83"/>
      <c r="B85" s="865"/>
      <c r="C85" s="865"/>
      <c r="D85" s="865"/>
      <c r="E85" s="865"/>
      <c r="F85" s="865"/>
      <c r="G85" s="84"/>
      <c r="H85" s="865"/>
      <c r="I85" s="865"/>
      <c r="J85" s="865"/>
      <c r="K85" s="865"/>
      <c r="L85" s="865"/>
      <c r="M85" s="865"/>
      <c r="N85" s="865"/>
      <c r="O85" s="865"/>
      <c r="P85" s="865"/>
    </row>
    <row r="86" spans="1:16">
      <c r="A86" s="83"/>
      <c r="B86" s="865"/>
      <c r="C86" s="865"/>
      <c r="D86" s="865"/>
      <c r="E86" s="865"/>
      <c r="F86" s="865"/>
      <c r="G86" s="84"/>
      <c r="H86" s="865"/>
      <c r="I86" s="865"/>
      <c r="J86" s="865"/>
      <c r="K86" s="865"/>
      <c r="L86" s="865"/>
      <c r="M86" s="865"/>
      <c r="N86" s="865"/>
      <c r="O86" s="865"/>
      <c r="P86" s="865"/>
    </row>
    <row r="87" spans="1:16">
      <c r="A87" s="83"/>
      <c r="B87" s="865"/>
      <c r="C87" s="865"/>
      <c r="D87" s="865"/>
      <c r="E87" s="865"/>
      <c r="F87" s="865"/>
      <c r="G87" s="84"/>
      <c r="H87" s="865"/>
      <c r="I87" s="865"/>
      <c r="J87" s="865"/>
      <c r="K87" s="865"/>
      <c r="L87" s="865"/>
      <c r="M87" s="865"/>
      <c r="N87" s="865"/>
      <c r="O87" s="865"/>
      <c r="P87" s="865"/>
    </row>
    <row r="88" spans="1:16">
      <c r="A88" s="83"/>
      <c r="B88" s="865"/>
      <c r="C88" s="865"/>
      <c r="D88" s="865"/>
      <c r="E88" s="865"/>
      <c r="F88" s="865"/>
      <c r="G88" s="84"/>
      <c r="H88" s="865"/>
      <c r="I88" s="865"/>
      <c r="J88" s="865"/>
      <c r="K88" s="865"/>
      <c r="L88" s="865"/>
      <c r="M88" s="865"/>
      <c r="N88" s="865"/>
      <c r="O88" s="865"/>
      <c r="P88" s="865"/>
    </row>
    <row r="89" spans="1:16">
      <c r="A89" s="83"/>
      <c r="B89" s="865"/>
      <c r="C89" s="865"/>
      <c r="D89" s="865"/>
      <c r="E89" s="865"/>
      <c r="F89" s="865"/>
      <c r="G89" s="84"/>
      <c r="H89" s="865"/>
      <c r="I89" s="865"/>
      <c r="J89" s="865"/>
      <c r="K89" s="865"/>
      <c r="L89" s="865"/>
      <c r="M89" s="865"/>
      <c r="N89" s="865"/>
      <c r="O89" s="865"/>
      <c r="P89" s="865"/>
    </row>
    <row r="90" spans="1:16">
      <c r="A90" s="83"/>
      <c r="B90" s="865"/>
      <c r="C90" s="865"/>
      <c r="D90" s="865"/>
      <c r="E90" s="865"/>
      <c r="F90" s="865"/>
      <c r="G90" s="84"/>
      <c r="H90" s="865"/>
      <c r="I90" s="865"/>
      <c r="J90" s="865"/>
      <c r="K90" s="865"/>
      <c r="L90" s="865"/>
      <c r="M90" s="865"/>
      <c r="N90" s="865"/>
      <c r="O90" s="865"/>
      <c r="P90" s="865"/>
    </row>
    <row r="91" spans="1:16">
      <c r="A91" s="83"/>
      <c r="B91" s="865"/>
      <c r="C91" s="865"/>
      <c r="D91" s="865"/>
      <c r="E91" s="865"/>
      <c r="F91" s="865"/>
      <c r="G91" s="84"/>
      <c r="H91" s="865"/>
      <c r="I91" s="865"/>
      <c r="J91" s="865"/>
      <c r="K91" s="865"/>
      <c r="L91" s="865"/>
      <c r="M91" s="865"/>
      <c r="N91" s="865"/>
      <c r="O91" s="865"/>
      <c r="P91" s="865"/>
    </row>
    <row r="92" spans="1:16">
      <c r="A92" s="83"/>
      <c r="B92" s="865"/>
      <c r="C92" s="865"/>
      <c r="D92" s="865"/>
      <c r="E92" s="865"/>
      <c r="F92" s="865"/>
      <c r="G92" s="84"/>
      <c r="H92" s="865"/>
      <c r="I92" s="865"/>
      <c r="J92" s="865"/>
      <c r="K92" s="865"/>
      <c r="L92" s="865"/>
      <c r="M92" s="865"/>
      <c r="N92" s="865"/>
      <c r="O92" s="865"/>
      <c r="P92" s="865"/>
    </row>
    <row r="93" spans="1:16">
      <c r="A93" s="83"/>
      <c r="B93" s="865"/>
      <c r="C93" s="865"/>
      <c r="D93" s="865"/>
      <c r="E93" s="865"/>
      <c r="F93" s="865"/>
      <c r="G93" s="84"/>
      <c r="H93" s="865"/>
      <c r="I93" s="865"/>
      <c r="J93" s="865"/>
      <c r="K93" s="865"/>
      <c r="L93" s="865"/>
      <c r="M93" s="865"/>
      <c r="N93" s="865"/>
      <c r="O93" s="865"/>
      <c r="P93" s="865"/>
    </row>
    <row r="94" spans="1:16">
      <c r="A94" s="83"/>
      <c r="B94" s="865"/>
      <c r="C94" s="865"/>
      <c r="D94" s="865"/>
      <c r="E94" s="865"/>
      <c r="F94" s="865"/>
      <c r="G94" s="84"/>
      <c r="H94" s="865"/>
      <c r="I94" s="865"/>
      <c r="J94" s="865"/>
      <c r="K94" s="865"/>
      <c r="L94" s="865"/>
      <c r="M94" s="865"/>
      <c r="N94" s="865"/>
      <c r="O94" s="865"/>
      <c r="P94" s="865"/>
    </row>
    <row r="95" spans="1:16">
      <c r="A95" s="83"/>
      <c r="B95" s="865"/>
      <c r="C95" s="865"/>
      <c r="D95" s="865"/>
      <c r="E95" s="865"/>
      <c r="F95" s="865"/>
      <c r="G95" s="84"/>
      <c r="H95" s="865"/>
      <c r="I95" s="865"/>
      <c r="J95" s="865"/>
      <c r="K95" s="865"/>
      <c r="L95" s="865"/>
      <c r="M95" s="865"/>
      <c r="N95" s="865"/>
      <c r="O95" s="865"/>
      <c r="P95" s="865"/>
    </row>
    <row r="96" spans="1:16">
      <c r="A96" s="83"/>
      <c r="B96" s="865"/>
      <c r="C96" s="865"/>
      <c r="D96" s="865"/>
      <c r="E96" s="865"/>
      <c r="F96" s="865"/>
      <c r="G96" s="84"/>
      <c r="H96" s="865"/>
      <c r="I96" s="865"/>
      <c r="J96" s="865"/>
      <c r="K96" s="865"/>
      <c r="L96" s="865"/>
      <c r="M96" s="865"/>
      <c r="N96" s="865"/>
      <c r="O96" s="865"/>
      <c r="P96" s="865"/>
    </row>
    <row r="97" spans="1:16">
      <c r="A97" s="83"/>
      <c r="B97" s="865"/>
      <c r="C97" s="865"/>
      <c r="D97" s="865"/>
      <c r="E97" s="865"/>
      <c r="F97" s="865"/>
      <c r="G97" s="84"/>
      <c r="H97" s="865"/>
      <c r="I97" s="865"/>
      <c r="J97" s="865"/>
      <c r="K97" s="865"/>
      <c r="L97" s="865"/>
      <c r="M97" s="865"/>
      <c r="N97" s="865"/>
      <c r="O97" s="865"/>
    </row>
    <row r="98" spans="1:16">
      <c r="A98" s="83"/>
      <c r="B98" s="865"/>
      <c r="C98" s="865"/>
      <c r="D98" s="865"/>
      <c r="E98" s="865"/>
      <c r="F98" s="865"/>
      <c r="G98" s="84"/>
      <c r="H98" s="865"/>
      <c r="I98" s="865"/>
      <c r="J98" s="865"/>
      <c r="K98" s="865"/>
      <c r="L98" s="865"/>
      <c r="M98" s="865"/>
      <c r="N98" s="865"/>
      <c r="O98" s="865"/>
    </row>
    <row r="99" spans="1:16">
      <c r="A99" s="83"/>
      <c r="B99" s="865"/>
      <c r="C99" s="865"/>
      <c r="D99" s="865"/>
      <c r="E99" s="865"/>
      <c r="F99" s="865"/>
      <c r="G99" s="84"/>
      <c r="H99" s="865"/>
      <c r="I99" s="865"/>
      <c r="J99" s="865"/>
      <c r="K99" s="865"/>
      <c r="L99" s="865"/>
      <c r="M99" s="865"/>
      <c r="N99" s="865"/>
      <c r="O99" s="865"/>
    </row>
    <row r="100" spans="1:16">
      <c r="A100" s="83"/>
      <c r="B100" s="865"/>
      <c r="C100" s="865"/>
      <c r="D100" s="865"/>
      <c r="E100" s="865"/>
      <c r="F100" s="865"/>
      <c r="G100" s="84"/>
      <c r="H100" s="865"/>
      <c r="I100" s="865"/>
      <c r="J100" s="865"/>
      <c r="K100" s="865"/>
      <c r="L100" s="865"/>
      <c r="M100" s="865"/>
      <c r="N100" s="865"/>
      <c r="O100" s="865"/>
    </row>
    <row r="101" spans="1:16">
      <c r="A101" s="83"/>
      <c r="B101" s="865"/>
      <c r="C101" s="865"/>
      <c r="D101" s="865"/>
      <c r="E101" s="865"/>
      <c r="F101" s="865"/>
      <c r="G101" s="84"/>
      <c r="H101" s="865"/>
      <c r="I101" s="865"/>
      <c r="J101" s="865"/>
      <c r="K101" s="865"/>
      <c r="L101" s="865"/>
      <c r="M101" s="865"/>
      <c r="N101" s="865"/>
      <c r="O101" s="865"/>
      <c r="P101" s="865"/>
    </row>
    <row r="102" spans="1:16">
      <c r="A102" s="83"/>
      <c r="B102" s="865"/>
      <c r="C102" s="865"/>
      <c r="D102" s="865"/>
      <c r="E102" s="865"/>
      <c r="F102" s="865"/>
      <c r="G102" s="84"/>
      <c r="H102" s="865"/>
      <c r="I102" s="865"/>
      <c r="J102" s="865"/>
      <c r="K102" s="865"/>
      <c r="L102" s="865"/>
      <c r="M102" s="865"/>
      <c r="N102" s="865"/>
      <c r="O102" s="865"/>
      <c r="P102" s="865"/>
    </row>
    <row r="103" spans="1:16">
      <c r="A103" s="83"/>
      <c r="B103" s="865"/>
      <c r="C103" s="865"/>
      <c r="D103" s="865"/>
      <c r="E103" s="865"/>
      <c r="F103" s="865"/>
      <c r="G103" s="84"/>
      <c r="H103" s="865"/>
      <c r="I103" s="865"/>
      <c r="J103" s="865"/>
      <c r="K103" s="865"/>
      <c r="L103" s="865"/>
      <c r="M103" s="865"/>
      <c r="N103" s="865"/>
      <c r="O103" s="865"/>
      <c r="P103" s="865"/>
    </row>
    <row r="104" spans="1:16">
      <c r="A104" s="83"/>
      <c r="B104" s="865"/>
      <c r="C104" s="865"/>
      <c r="D104" s="865"/>
      <c r="E104" s="865"/>
      <c r="F104" s="865"/>
      <c r="G104" s="84"/>
      <c r="N104" s="865"/>
      <c r="O104" s="865"/>
      <c r="P104" s="865"/>
    </row>
    <row r="105" spans="1:16">
      <c r="A105" s="83"/>
      <c r="B105" s="865"/>
      <c r="C105" s="865"/>
      <c r="D105" s="865"/>
      <c r="E105" s="865"/>
      <c r="F105" s="865"/>
      <c r="G105" s="84"/>
      <c r="N105" s="865"/>
      <c r="O105" s="865"/>
      <c r="P105" s="865"/>
    </row>
    <row r="106" spans="1:16">
      <c r="A106" s="83"/>
      <c r="B106" s="865"/>
      <c r="C106" s="865"/>
      <c r="D106" s="865"/>
      <c r="E106" s="865"/>
      <c r="F106" s="865"/>
      <c r="G106" s="84"/>
      <c r="N106" s="865"/>
      <c r="O106" s="865"/>
      <c r="P106" s="865"/>
    </row>
    <row r="107" spans="1:16">
      <c r="A107" s="83"/>
      <c r="B107" s="865"/>
      <c r="C107" s="865"/>
      <c r="D107" s="865"/>
      <c r="E107" s="865"/>
      <c r="F107" s="865"/>
      <c r="G107" s="84"/>
      <c r="N107" s="865"/>
      <c r="O107" s="865"/>
      <c r="P107" s="865"/>
    </row>
    <row r="108" spans="1:16">
      <c r="A108" s="83"/>
      <c r="B108" s="865"/>
      <c r="C108" s="865"/>
      <c r="D108" s="865"/>
      <c r="E108" s="865"/>
      <c r="F108" s="865"/>
      <c r="G108" s="84"/>
      <c r="N108" s="865"/>
      <c r="O108" s="865"/>
      <c r="P108" s="865"/>
    </row>
    <row r="109" spans="1:16">
      <c r="A109" s="83"/>
      <c r="B109" s="865"/>
      <c r="C109" s="865"/>
      <c r="D109" s="865"/>
      <c r="E109" s="865"/>
      <c r="F109" s="865"/>
      <c r="G109" s="84"/>
      <c r="N109" s="865"/>
      <c r="O109" s="865"/>
      <c r="P109" s="865"/>
    </row>
    <row r="110" spans="1:16">
      <c r="A110" s="83"/>
      <c r="B110" s="865"/>
      <c r="C110" s="865"/>
      <c r="D110" s="865"/>
      <c r="E110" s="865"/>
      <c r="F110" s="865"/>
      <c r="G110" s="84"/>
      <c r="N110" s="865"/>
      <c r="O110" s="865"/>
      <c r="P110" s="865"/>
    </row>
    <row r="111" spans="1:16">
      <c r="A111" s="83"/>
      <c r="B111" s="865"/>
      <c r="C111" s="865"/>
      <c r="D111" s="865"/>
      <c r="E111" s="865"/>
      <c r="F111" s="865"/>
      <c r="G111" s="84"/>
      <c r="N111" s="865"/>
      <c r="O111" s="865"/>
      <c r="P111" s="865"/>
    </row>
    <row r="112" spans="1:16">
      <c r="A112" s="83"/>
      <c r="B112" s="865"/>
      <c r="C112" s="865"/>
      <c r="D112" s="865"/>
      <c r="E112" s="865"/>
      <c r="F112" s="865"/>
      <c r="G112" s="84"/>
      <c r="H112" s="865"/>
      <c r="I112" s="865"/>
      <c r="J112" s="865"/>
      <c r="K112" s="865"/>
      <c r="L112" s="865"/>
      <c r="M112" s="865"/>
      <c r="N112" s="865"/>
      <c r="O112" s="865"/>
      <c r="P112" s="865"/>
    </row>
    <row r="113" spans="1:16">
      <c r="A113" s="83"/>
      <c r="B113" s="865"/>
      <c r="C113" s="865"/>
      <c r="D113" s="865"/>
      <c r="E113" s="865"/>
      <c r="F113" s="865"/>
      <c r="G113" s="84"/>
      <c r="H113" s="865"/>
      <c r="I113" s="865"/>
      <c r="J113" s="865"/>
      <c r="K113" s="865"/>
      <c r="L113" s="865"/>
      <c r="M113" s="865"/>
      <c r="N113" s="865"/>
      <c r="O113" s="865"/>
      <c r="P113" s="865"/>
    </row>
    <row r="114" spans="1:16">
      <c r="A114" s="83"/>
      <c r="B114" s="865"/>
      <c r="C114" s="865"/>
      <c r="D114" s="865"/>
      <c r="E114" s="865"/>
      <c r="F114" s="865"/>
      <c r="G114" s="84"/>
      <c r="H114" s="865"/>
      <c r="I114" s="865"/>
      <c r="J114" s="865"/>
      <c r="K114" s="865"/>
      <c r="L114" s="865"/>
      <c r="M114" s="865"/>
      <c r="N114" s="865"/>
      <c r="O114" s="865"/>
    </row>
    <row r="115" spans="1:16">
      <c r="A115" s="83"/>
      <c r="B115" s="865"/>
      <c r="C115" s="865"/>
      <c r="D115" s="865"/>
      <c r="E115" s="865"/>
      <c r="F115" s="865"/>
      <c r="G115" s="84"/>
      <c r="H115" s="865"/>
      <c r="I115" s="865"/>
      <c r="J115" s="865"/>
      <c r="K115" s="865"/>
      <c r="L115" s="865"/>
      <c r="M115" s="865"/>
      <c r="N115" s="865"/>
      <c r="O115" s="865"/>
    </row>
    <row r="116" spans="1:16">
      <c r="A116" s="83"/>
      <c r="B116" s="865"/>
      <c r="C116" s="865"/>
      <c r="D116" s="865"/>
      <c r="E116" s="865"/>
      <c r="F116" s="865"/>
      <c r="G116" s="84"/>
      <c r="H116" s="865"/>
      <c r="I116" s="865"/>
      <c r="J116" s="865"/>
      <c r="K116" s="865"/>
      <c r="L116" s="865"/>
      <c r="M116" s="865"/>
      <c r="N116" s="865"/>
      <c r="O116" s="865"/>
    </row>
    <row r="117" spans="1:16">
      <c r="A117" s="83"/>
      <c r="B117" s="865"/>
      <c r="C117" s="865"/>
      <c r="D117" s="865"/>
      <c r="E117" s="865"/>
      <c r="F117" s="865"/>
      <c r="G117" s="84"/>
      <c r="H117" s="865"/>
      <c r="I117" s="865"/>
      <c r="J117" s="865"/>
      <c r="K117" s="865"/>
      <c r="L117" s="865"/>
      <c r="M117" s="865"/>
      <c r="N117" s="865"/>
      <c r="O117" s="865"/>
    </row>
    <row r="118" spans="1:16">
      <c r="A118" s="83"/>
      <c r="B118" s="865"/>
      <c r="C118" s="865"/>
      <c r="D118" s="865"/>
      <c r="E118" s="865"/>
      <c r="F118" s="865"/>
      <c r="G118" s="84"/>
      <c r="H118" s="865"/>
      <c r="I118" s="865"/>
      <c r="J118" s="865"/>
      <c r="K118" s="865"/>
      <c r="L118" s="865"/>
      <c r="M118" s="865"/>
      <c r="N118" s="865"/>
      <c r="O118" s="865"/>
    </row>
    <row r="119" spans="1:16">
      <c r="A119" s="83"/>
      <c r="B119" s="865"/>
      <c r="C119" s="865"/>
      <c r="D119" s="865"/>
      <c r="E119" s="865"/>
      <c r="F119" s="865"/>
      <c r="G119" s="84"/>
      <c r="H119" s="865"/>
      <c r="I119" s="865"/>
      <c r="J119" s="865"/>
      <c r="K119" s="865"/>
      <c r="L119" s="865"/>
      <c r="M119" s="865"/>
      <c r="N119" s="865"/>
      <c r="O119" s="865"/>
    </row>
    <row r="120" spans="1:16">
      <c r="A120" s="83"/>
      <c r="B120" s="865"/>
      <c r="C120" s="1032" t="s">
        <v>205</v>
      </c>
      <c r="D120" s="1032"/>
      <c r="E120" s="1032"/>
      <c r="F120" s="865"/>
      <c r="G120" s="84"/>
      <c r="H120" s="865"/>
      <c r="I120" s="865"/>
      <c r="J120" s="865"/>
      <c r="K120" s="865"/>
      <c r="L120" s="865"/>
      <c r="M120" s="865"/>
      <c r="N120" s="865"/>
      <c r="O120" s="865"/>
    </row>
    <row r="121" spans="1:16">
      <c r="A121" s="83"/>
      <c r="B121" s="865"/>
      <c r="C121" s="85" t="s">
        <v>193</v>
      </c>
      <c r="D121" s="85" t="s">
        <v>190</v>
      </c>
      <c r="E121" s="85" t="s">
        <v>194</v>
      </c>
      <c r="F121" s="865"/>
      <c r="G121" s="84"/>
      <c r="H121" s="865"/>
      <c r="I121" s="865"/>
      <c r="J121" s="865"/>
      <c r="K121" s="865"/>
      <c r="L121" s="865"/>
      <c r="M121" s="865"/>
      <c r="N121" s="865"/>
      <c r="O121" s="865"/>
    </row>
    <row r="122" spans="1:16">
      <c r="A122" s="83"/>
      <c r="B122" s="865"/>
      <c r="C122" s="86">
        <v>77.599999999999994</v>
      </c>
      <c r="D122" s="86">
        <v>77.900000000000006</v>
      </c>
      <c r="E122" s="86">
        <v>66.900000000000006</v>
      </c>
      <c r="F122" s="865"/>
      <c r="G122" s="84"/>
      <c r="H122" s="865"/>
      <c r="I122" s="865"/>
      <c r="J122" s="865"/>
      <c r="K122" s="865"/>
      <c r="L122" s="865"/>
      <c r="M122" s="865"/>
      <c r="N122" s="865"/>
      <c r="O122" s="865"/>
    </row>
    <row r="123" spans="1:16" ht="15">
      <c r="A123" s="83"/>
      <c r="B123" s="865"/>
      <c r="C123" s="1033">
        <f>(C122+D122+E122)/3</f>
        <v>74.13333333333334</v>
      </c>
      <c r="D123" s="1034"/>
      <c r="E123" s="1035"/>
      <c r="F123" s="865"/>
      <c r="G123" s="84"/>
      <c r="H123" s="865"/>
      <c r="I123" s="865"/>
      <c r="J123" s="865"/>
      <c r="K123" s="865"/>
      <c r="L123" s="865"/>
      <c r="M123" s="865"/>
      <c r="N123" s="865"/>
      <c r="O123" s="865"/>
    </row>
    <row r="124" spans="1:16" ht="15" thickBot="1">
      <c r="A124" s="87"/>
      <c r="B124" s="88"/>
      <c r="C124" s="88"/>
      <c r="D124" s="88"/>
      <c r="E124" s="88"/>
      <c r="F124" s="88"/>
      <c r="G124" s="89"/>
      <c r="H124" s="865"/>
      <c r="I124" s="865"/>
      <c r="J124" s="865"/>
      <c r="K124" s="865"/>
      <c r="L124" s="865"/>
      <c r="M124" s="865"/>
      <c r="N124" s="865"/>
      <c r="O124" s="865"/>
    </row>
    <row r="125" spans="1:16" ht="15" thickBot="1">
      <c r="A125" s="871"/>
      <c r="B125" s="872"/>
      <c r="C125" s="872"/>
      <c r="D125" s="872"/>
      <c r="E125" s="872"/>
      <c r="F125" s="872"/>
      <c r="G125" s="873"/>
      <c r="H125" s="865"/>
      <c r="I125" s="865"/>
      <c r="J125" s="865"/>
      <c r="K125" s="865"/>
      <c r="L125" s="865"/>
      <c r="M125" s="865"/>
      <c r="N125" s="865"/>
      <c r="O125" s="865"/>
    </row>
    <row r="126" spans="1:16" ht="15" thickBot="1">
      <c r="A126" s="1036" t="s">
        <v>81</v>
      </c>
      <c r="B126" s="1037"/>
      <c r="C126" s="1037"/>
      <c r="D126" s="1037"/>
      <c r="E126" s="1037"/>
      <c r="F126" s="1037"/>
      <c r="G126" s="1038"/>
      <c r="H126" s="865"/>
      <c r="I126" s="865"/>
      <c r="J126" s="865"/>
      <c r="K126" s="865"/>
      <c r="L126" s="865"/>
      <c r="M126" s="865"/>
      <c r="N126" s="865"/>
      <c r="O126" s="865"/>
    </row>
    <row r="127" spans="1:16">
      <c r="A127" s="80"/>
      <c r="B127" s="81"/>
      <c r="C127" s="81"/>
      <c r="D127" s="81"/>
      <c r="E127" s="81"/>
      <c r="F127" s="81"/>
      <c r="G127" s="82"/>
      <c r="H127" s="865"/>
      <c r="I127" s="865"/>
      <c r="J127" s="865"/>
      <c r="K127" s="865"/>
      <c r="L127" s="865"/>
      <c r="M127" s="865"/>
      <c r="N127" s="865"/>
      <c r="O127" s="865"/>
    </row>
    <row r="128" spans="1:16">
      <c r="A128" s="83"/>
      <c r="B128" s="865"/>
      <c r="C128" s="865"/>
      <c r="D128" s="865"/>
      <c r="E128" s="865"/>
      <c r="F128" s="865"/>
      <c r="G128" s="84"/>
      <c r="H128" s="865"/>
      <c r="I128" s="865"/>
      <c r="J128" s="865"/>
      <c r="K128" s="865"/>
      <c r="L128" s="865"/>
      <c r="M128" s="865"/>
      <c r="N128" s="865"/>
      <c r="O128" s="865"/>
    </row>
    <row r="129" spans="1:15">
      <c r="A129" s="83"/>
      <c r="B129" s="865"/>
      <c r="C129" s="865"/>
      <c r="D129" s="865"/>
      <c r="E129" s="865"/>
      <c r="F129" s="865"/>
      <c r="G129" s="84"/>
      <c r="H129" s="865"/>
      <c r="I129" s="865"/>
      <c r="J129" s="865"/>
      <c r="K129" s="865"/>
      <c r="L129" s="865"/>
      <c r="M129" s="865"/>
      <c r="N129" s="865"/>
      <c r="O129" s="865"/>
    </row>
    <row r="130" spans="1:15">
      <c r="A130" s="83"/>
      <c r="B130" s="865"/>
      <c r="C130" s="865"/>
      <c r="D130" s="865"/>
      <c r="E130" s="865"/>
      <c r="F130" s="865"/>
      <c r="G130" s="84"/>
      <c r="H130" s="865"/>
      <c r="I130" s="865"/>
      <c r="J130" s="865"/>
      <c r="K130" s="865"/>
      <c r="L130" s="865"/>
      <c r="M130" s="865"/>
      <c r="N130" s="865"/>
      <c r="O130" s="865"/>
    </row>
    <row r="131" spans="1:15">
      <c r="A131" s="83"/>
      <c r="B131" s="865"/>
      <c r="C131" s="865"/>
      <c r="D131" s="865"/>
      <c r="E131" s="865"/>
      <c r="F131" s="865"/>
      <c r="G131" s="84"/>
      <c r="H131" s="865"/>
      <c r="I131" s="865"/>
      <c r="J131" s="865"/>
      <c r="K131" s="865"/>
      <c r="L131" s="865"/>
      <c r="M131" s="865"/>
      <c r="N131" s="865"/>
      <c r="O131" s="865"/>
    </row>
    <row r="132" spans="1:15">
      <c r="A132" s="83"/>
      <c r="B132" s="865"/>
      <c r="C132" s="865"/>
      <c r="D132" s="865"/>
      <c r="E132" s="865"/>
      <c r="F132" s="865"/>
      <c r="G132" s="84"/>
      <c r="H132" s="865"/>
      <c r="I132" s="865"/>
      <c r="J132" s="865"/>
      <c r="K132" s="865"/>
      <c r="L132" s="865"/>
      <c r="M132" s="865"/>
      <c r="N132" s="865"/>
      <c r="O132" s="865"/>
    </row>
    <row r="133" spans="1:15">
      <c r="A133" s="83"/>
      <c r="B133" s="865"/>
      <c r="C133" s="865"/>
      <c r="D133" s="865"/>
      <c r="E133" s="865"/>
      <c r="F133" s="865"/>
      <c r="G133" s="84"/>
      <c r="H133" s="865"/>
      <c r="I133" s="865"/>
      <c r="J133" s="865"/>
      <c r="K133" s="865"/>
      <c r="L133" s="865"/>
      <c r="M133" s="865"/>
      <c r="N133" s="865"/>
      <c r="O133" s="865"/>
    </row>
    <row r="134" spans="1:15">
      <c r="A134" s="83"/>
      <c r="B134" s="865"/>
      <c r="C134" s="865"/>
      <c r="D134" s="865"/>
      <c r="E134" s="865"/>
      <c r="F134" s="865"/>
      <c r="G134" s="84"/>
      <c r="H134" s="865"/>
      <c r="I134" s="865"/>
      <c r="J134" s="865"/>
      <c r="K134" s="865"/>
      <c r="L134" s="865"/>
      <c r="M134" s="865"/>
      <c r="N134" s="865"/>
      <c r="O134" s="865"/>
    </row>
    <row r="135" spans="1:15">
      <c r="A135" s="83"/>
      <c r="B135" s="865"/>
      <c r="C135" s="865"/>
      <c r="D135" s="865"/>
      <c r="E135" s="865"/>
      <c r="F135" s="865"/>
      <c r="G135" s="84"/>
      <c r="H135" s="865"/>
      <c r="I135" s="865"/>
      <c r="J135" s="865"/>
      <c r="K135" s="865"/>
      <c r="L135" s="865"/>
      <c r="M135" s="865"/>
      <c r="N135" s="865"/>
      <c r="O135" s="865"/>
    </row>
    <row r="136" spans="1:15">
      <c r="A136" s="83"/>
      <c r="B136" s="865"/>
      <c r="C136" s="865"/>
      <c r="D136" s="865"/>
      <c r="E136" s="865"/>
      <c r="F136" s="865"/>
      <c r="G136" s="84"/>
      <c r="H136" s="865"/>
      <c r="I136" s="865"/>
      <c r="J136" s="865"/>
      <c r="K136" s="865"/>
      <c r="L136" s="865"/>
      <c r="M136" s="865"/>
      <c r="N136" s="865"/>
      <c r="O136" s="865"/>
    </row>
    <row r="137" spans="1:15">
      <c r="A137" s="83"/>
      <c r="B137" s="865"/>
      <c r="C137" s="865"/>
      <c r="D137" s="865"/>
      <c r="E137" s="865"/>
      <c r="F137" s="865"/>
      <c r="G137" s="84"/>
      <c r="H137" s="865"/>
      <c r="I137" s="865"/>
      <c r="J137" s="865"/>
      <c r="K137" s="865"/>
      <c r="L137" s="865"/>
      <c r="M137" s="865"/>
      <c r="N137" s="865"/>
      <c r="O137" s="865"/>
    </row>
    <row r="138" spans="1:15">
      <c r="A138" s="83"/>
      <c r="B138" s="865"/>
      <c r="C138" s="865"/>
      <c r="D138" s="865"/>
      <c r="E138" s="865"/>
      <c r="F138" s="865"/>
      <c r="G138" s="84"/>
      <c r="H138" s="865"/>
      <c r="I138" s="865"/>
      <c r="J138" s="865"/>
      <c r="K138" s="865"/>
      <c r="L138" s="865"/>
      <c r="M138" s="865"/>
      <c r="N138" s="865"/>
      <c r="O138" s="865"/>
    </row>
    <row r="139" spans="1:15">
      <c r="A139" s="83"/>
      <c r="B139" s="865"/>
      <c r="C139" s="865"/>
      <c r="D139" s="865"/>
      <c r="E139" s="865"/>
      <c r="F139" s="865"/>
      <c r="G139" s="84"/>
      <c r="H139" s="865"/>
      <c r="I139" s="865"/>
      <c r="J139" s="865"/>
      <c r="K139" s="865"/>
      <c r="L139" s="865"/>
      <c r="M139" s="865"/>
      <c r="N139" s="865"/>
      <c r="O139" s="865"/>
    </row>
    <row r="140" spans="1:15">
      <c r="A140" s="83"/>
      <c r="B140" s="865"/>
      <c r="C140" s="865"/>
      <c r="D140" s="865"/>
      <c r="E140" s="865"/>
      <c r="F140" s="865"/>
      <c r="G140" s="84"/>
      <c r="H140" s="865"/>
      <c r="I140" s="865"/>
      <c r="J140" s="865"/>
      <c r="K140" s="865"/>
      <c r="L140" s="865"/>
      <c r="M140" s="865"/>
      <c r="N140" s="865"/>
      <c r="O140" s="865"/>
    </row>
    <row r="141" spans="1:15">
      <c r="A141" s="83"/>
      <c r="B141" s="865"/>
      <c r="C141" s="865"/>
      <c r="D141" s="865"/>
      <c r="E141" s="865"/>
      <c r="F141" s="865"/>
      <c r="G141" s="84"/>
      <c r="H141" s="865"/>
      <c r="I141" s="865"/>
      <c r="J141" s="865"/>
      <c r="K141" s="865"/>
      <c r="L141" s="865"/>
      <c r="M141" s="865"/>
      <c r="N141" s="865"/>
      <c r="O141" s="865"/>
    </row>
    <row r="142" spans="1:15">
      <c r="A142" s="83"/>
      <c r="B142" s="865"/>
      <c r="C142" s="865"/>
      <c r="D142" s="865"/>
      <c r="E142" s="865"/>
      <c r="F142" s="865"/>
      <c r="G142" s="84"/>
      <c r="H142" s="865"/>
      <c r="I142" s="865"/>
      <c r="J142" s="865"/>
      <c r="K142" s="865"/>
      <c r="L142" s="865"/>
      <c r="M142" s="865"/>
      <c r="N142" s="865"/>
      <c r="O142" s="865"/>
    </row>
    <row r="143" spans="1:15">
      <c r="A143" s="83"/>
      <c r="B143" s="865"/>
      <c r="C143" s="865"/>
      <c r="D143" s="865"/>
      <c r="E143" s="865"/>
      <c r="F143" s="865"/>
      <c r="G143" s="84"/>
      <c r="H143" s="865"/>
      <c r="I143" s="865"/>
      <c r="J143" s="865"/>
      <c r="K143" s="865"/>
      <c r="L143" s="865"/>
      <c r="M143" s="865"/>
      <c r="N143" s="865"/>
      <c r="O143" s="865"/>
    </row>
    <row r="144" spans="1:15">
      <c r="A144" s="83"/>
      <c r="B144" s="865"/>
      <c r="C144" s="865"/>
      <c r="D144" s="865"/>
      <c r="E144" s="865"/>
      <c r="F144" s="865"/>
      <c r="G144" s="84"/>
      <c r="H144" s="865"/>
      <c r="I144" s="865"/>
      <c r="J144" s="865"/>
      <c r="K144" s="865"/>
      <c r="L144" s="865"/>
      <c r="M144" s="865"/>
      <c r="N144" s="865"/>
      <c r="O144" s="865"/>
    </row>
    <row r="145" spans="1:15">
      <c r="A145" s="83"/>
      <c r="B145" s="865"/>
      <c r="C145" s="865"/>
      <c r="D145" s="865"/>
      <c r="E145" s="865"/>
      <c r="F145" s="865"/>
      <c r="G145" s="84"/>
      <c r="H145" s="865"/>
      <c r="I145" s="865"/>
      <c r="J145" s="865"/>
      <c r="K145" s="865"/>
      <c r="L145" s="865"/>
      <c r="M145" s="865"/>
      <c r="N145" s="865"/>
      <c r="O145" s="865"/>
    </row>
    <row r="146" spans="1:15">
      <c r="A146" s="83"/>
      <c r="B146" s="865"/>
      <c r="C146" s="865"/>
      <c r="D146" s="865"/>
      <c r="E146" s="865"/>
      <c r="F146" s="865"/>
      <c r="G146" s="84"/>
      <c r="H146" s="865"/>
      <c r="I146" s="865"/>
      <c r="J146" s="865"/>
      <c r="K146" s="865"/>
      <c r="L146" s="865"/>
      <c r="M146" s="865"/>
      <c r="N146" s="865"/>
      <c r="O146" s="865"/>
    </row>
    <row r="147" spans="1:15">
      <c r="A147" s="83"/>
      <c r="B147" s="865"/>
      <c r="C147" s="865"/>
      <c r="D147" s="865"/>
      <c r="E147" s="865"/>
      <c r="F147" s="865"/>
      <c r="G147" s="84"/>
      <c r="H147" s="865"/>
      <c r="I147" s="865"/>
      <c r="J147" s="865"/>
      <c r="K147" s="865"/>
      <c r="L147" s="865"/>
      <c r="M147" s="865"/>
      <c r="N147" s="865"/>
      <c r="O147" s="865"/>
    </row>
    <row r="148" spans="1:15">
      <c r="A148" s="83"/>
      <c r="B148" s="865"/>
      <c r="C148" s="865"/>
      <c r="D148" s="865"/>
      <c r="E148" s="865"/>
      <c r="F148" s="865"/>
      <c r="G148" s="84"/>
      <c r="H148" s="865"/>
      <c r="I148" s="865"/>
      <c r="J148" s="865"/>
      <c r="K148" s="865"/>
      <c r="L148" s="865"/>
      <c r="M148" s="865"/>
      <c r="N148" s="865"/>
      <c r="O148" s="865"/>
    </row>
    <row r="149" spans="1:15">
      <c r="A149" s="83"/>
      <c r="B149" s="865"/>
      <c r="C149" s="865"/>
      <c r="D149" s="865"/>
      <c r="E149" s="865"/>
      <c r="F149" s="865"/>
      <c r="G149" s="84"/>
      <c r="H149" s="865"/>
      <c r="I149" s="865"/>
      <c r="J149" s="865"/>
      <c r="K149" s="865"/>
      <c r="L149" s="865"/>
      <c r="M149" s="865"/>
      <c r="N149" s="865"/>
      <c r="O149" s="865"/>
    </row>
    <row r="150" spans="1:15">
      <c r="A150" s="83"/>
      <c r="B150" s="865"/>
      <c r="C150" s="865"/>
      <c r="D150" s="865"/>
      <c r="E150" s="865"/>
      <c r="F150" s="865"/>
      <c r="G150" s="84"/>
      <c r="H150" s="865"/>
      <c r="I150" s="865"/>
      <c r="J150" s="865"/>
      <c r="K150" s="865"/>
      <c r="L150" s="865"/>
      <c r="M150" s="865"/>
      <c r="N150" s="865"/>
      <c r="O150" s="865"/>
    </row>
    <row r="151" spans="1:15">
      <c r="A151" s="83"/>
      <c r="B151" s="865"/>
      <c r="C151" s="865"/>
      <c r="D151" s="865"/>
      <c r="E151" s="865"/>
      <c r="F151" s="865"/>
      <c r="G151" s="84"/>
      <c r="H151" s="865"/>
      <c r="I151" s="865"/>
      <c r="J151" s="865"/>
      <c r="K151" s="865"/>
      <c r="L151" s="865"/>
      <c r="M151" s="865"/>
      <c r="N151" s="865"/>
      <c r="O151" s="865"/>
    </row>
    <row r="152" spans="1:15">
      <c r="A152" s="83"/>
      <c r="B152" s="865"/>
      <c r="C152" s="865"/>
      <c r="D152" s="865"/>
      <c r="E152" s="865"/>
      <c r="F152" s="865"/>
      <c r="G152" s="84"/>
      <c r="H152" s="865"/>
      <c r="I152" s="865"/>
      <c r="J152" s="865"/>
      <c r="K152" s="865"/>
      <c r="L152" s="865"/>
      <c r="M152" s="865"/>
      <c r="N152" s="865"/>
      <c r="O152" s="865"/>
    </row>
    <row r="153" spans="1:15">
      <c r="A153" s="83"/>
      <c r="B153" s="865"/>
      <c r="C153" s="865"/>
      <c r="D153" s="865"/>
      <c r="E153" s="865"/>
      <c r="F153" s="865"/>
      <c r="G153" s="84"/>
      <c r="H153" s="865"/>
      <c r="I153" s="865"/>
      <c r="J153" s="865"/>
      <c r="K153" s="865"/>
      <c r="L153" s="865"/>
      <c r="M153" s="865"/>
      <c r="N153" s="865"/>
      <c r="O153" s="865"/>
    </row>
    <row r="154" spans="1:15">
      <c r="A154" s="83"/>
      <c r="B154" s="865"/>
      <c r="C154" s="865"/>
      <c r="D154" s="865"/>
      <c r="E154" s="865"/>
      <c r="F154" s="865"/>
      <c r="G154" s="84"/>
      <c r="H154" s="865"/>
      <c r="I154" s="865"/>
      <c r="J154" s="865"/>
      <c r="K154" s="865"/>
      <c r="L154" s="865"/>
      <c r="M154" s="865"/>
      <c r="N154" s="865"/>
      <c r="O154" s="865"/>
    </row>
    <row r="155" spans="1:15">
      <c r="A155" s="83"/>
      <c r="B155" s="865"/>
      <c r="C155" s="865"/>
      <c r="D155" s="865"/>
      <c r="E155" s="865"/>
      <c r="F155" s="865"/>
      <c r="G155" s="84"/>
      <c r="H155" s="865"/>
      <c r="I155" s="865"/>
      <c r="J155" s="865"/>
      <c r="K155" s="865"/>
      <c r="L155" s="865"/>
      <c r="M155" s="865"/>
      <c r="N155" s="865"/>
      <c r="O155" s="865"/>
    </row>
    <row r="156" spans="1:15">
      <c r="A156" s="83"/>
      <c r="B156" s="865"/>
      <c r="C156" s="865"/>
      <c r="D156" s="865"/>
      <c r="E156" s="865"/>
      <c r="F156" s="865"/>
      <c r="G156" s="84"/>
      <c r="H156" s="865"/>
      <c r="I156" s="865"/>
      <c r="J156" s="865"/>
      <c r="K156" s="865"/>
      <c r="L156" s="865"/>
      <c r="M156" s="865"/>
      <c r="N156" s="865"/>
      <c r="O156" s="865"/>
    </row>
    <row r="157" spans="1:15">
      <c r="A157" s="83"/>
      <c r="B157" s="865"/>
      <c r="C157" s="865"/>
      <c r="D157" s="865"/>
      <c r="E157" s="865"/>
      <c r="F157" s="865"/>
      <c r="G157" s="84"/>
      <c r="H157" s="865"/>
      <c r="I157" s="865"/>
      <c r="J157" s="865"/>
      <c r="K157" s="865"/>
      <c r="L157" s="865"/>
      <c r="M157" s="865"/>
      <c r="N157" s="865"/>
      <c r="O157" s="865"/>
    </row>
    <row r="158" spans="1:15">
      <c r="A158" s="83"/>
      <c r="B158" s="865"/>
      <c r="C158" s="865"/>
      <c r="D158" s="865"/>
      <c r="E158" s="865"/>
      <c r="F158" s="865"/>
      <c r="G158" s="84"/>
      <c r="H158" s="865"/>
      <c r="I158" s="865"/>
      <c r="J158" s="865"/>
      <c r="K158" s="865"/>
      <c r="L158" s="865"/>
      <c r="M158" s="865"/>
      <c r="N158" s="865"/>
      <c r="O158" s="865"/>
    </row>
    <row r="159" spans="1:15">
      <c r="A159" s="83"/>
      <c r="B159" s="865"/>
      <c r="C159" s="865"/>
      <c r="D159" s="865"/>
      <c r="E159" s="865"/>
      <c r="F159" s="865"/>
      <c r="G159" s="84"/>
      <c r="H159" s="865"/>
      <c r="I159" s="865"/>
      <c r="J159" s="865"/>
      <c r="K159" s="865"/>
      <c r="L159" s="865"/>
      <c r="M159" s="865"/>
      <c r="N159" s="865"/>
      <c r="O159" s="865"/>
    </row>
    <row r="160" spans="1:15">
      <c r="A160" s="83"/>
      <c r="B160" s="865"/>
      <c r="C160" s="865"/>
      <c r="D160" s="865"/>
      <c r="E160" s="865"/>
      <c r="F160" s="865"/>
      <c r="G160" s="84"/>
      <c r="H160" s="865"/>
      <c r="I160" s="865"/>
      <c r="J160" s="865"/>
      <c r="K160" s="865"/>
      <c r="L160" s="865"/>
      <c r="M160" s="865"/>
      <c r="N160" s="865"/>
      <c r="O160" s="865"/>
    </row>
    <row r="161" spans="1:16">
      <c r="A161" s="83"/>
      <c r="B161" s="865"/>
      <c r="C161" s="865"/>
      <c r="D161" s="865"/>
      <c r="E161" s="865"/>
      <c r="F161" s="865"/>
      <c r="G161" s="84"/>
      <c r="H161" s="865"/>
      <c r="I161" s="865"/>
      <c r="J161" s="865"/>
      <c r="K161" s="865"/>
      <c r="L161" s="865"/>
      <c r="M161" s="865"/>
      <c r="N161" s="865"/>
      <c r="O161" s="865"/>
    </row>
    <row r="162" spans="1:16">
      <c r="A162" s="83"/>
      <c r="B162" s="865"/>
      <c r="C162" s="865"/>
      <c r="D162" s="865"/>
      <c r="E162" s="865"/>
      <c r="F162" s="865"/>
      <c r="G162" s="84"/>
      <c r="N162" s="865"/>
      <c r="O162" s="865"/>
      <c r="P162" s="865"/>
    </row>
    <row r="163" spans="1:16">
      <c r="A163" s="83"/>
      <c r="B163" s="865"/>
      <c r="C163" s="865"/>
      <c r="D163" s="865"/>
      <c r="E163" s="865"/>
      <c r="F163" s="865"/>
      <c r="G163" s="84"/>
      <c r="N163" s="865"/>
      <c r="O163" s="865"/>
      <c r="P163" s="865"/>
    </row>
    <row r="164" spans="1:16">
      <c r="A164" s="83"/>
      <c r="B164" s="865"/>
      <c r="C164" s="1032" t="s">
        <v>206</v>
      </c>
      <c r="D164" s="1032"/>
      <c r="E164" s="1032"/>
      <c r="F164" s="865"/>
      <c r="G164" s="84"/>
      <c r="N164" s="865"/>
      <c r="O164" s="865"/>
      <c r="P164" s="865"/>
    </row>
    <row r="165" spans="1:16">
      <c r="A165" s="83"/>
      <c r="B165" s="865"/>
      <c r="C165" s="85" t="s">
        <v>195</v>
      </c>
      <c r="D165" s="85" t="s">
        <v>190</v>
      </c>
      <c r="E165" s="85" t="s">
        <v>196</v>
      </c>
      <c r="F165" s="865"/>
      <c r="G165" s="84"/>
      <c r="N165" s="865"/>
      <c r="O165" s="865"/>
      <c r="P165" s="865"/>
    </row>
    <row r="166" spans="1:16">
      <c r="A166" s="83"/>
      <c r="B166" s="865"/>
      <c r="C166" s="86">
        <v>20.56</v>
      </c>
      <c r="D166" s="86">
        <v>21.99</v>
      </c>
      <c r="E166" s="86">
        <v>14.62</v>
      </c>
      <c r="F166" s="865"/>
      <c r="G166" s="84"/>
      <c r="N166" s="865"/>
      <c r="O166" s="865"/>
      <c r="P166" s="865"/>
    </row>
    <row r="167" spans="1:16" ht="15">
      <c r="A167" s="83"/>
      <c r="B167" s="865"/>
      <c r="C167" s="1033">
        <f>(C166+D166+E166)/3</f>
        <v>19.056666666666665</v>
      </c>
      <c r="D167" s="1034"/>
      <c r="E167" s="1035"/>
      <c r="F167" s="865"/>
      <c r="G167" s="84"/>
      <c r="N167" s="865"/>
      <c r="O167" s="865"/>
      <c r="P167" s="865"/>
    </row>
    <row r="168" spans="1:16" ht="15" thickBot="1">
      <c r="A168" s="87"/>
      <c r="B168" s="88"/>
      <c r="C168" s="88"/>
      <c r="D168" s="88"/>
      <c r="E168" s="88"/>
      <c r="F168" s="88"/>
      <c r="G168" s="89"/>
      <c r="N168" s="865"/>
      <c r="O168" s="865"/>
      <c r="P168" s="865"/>
    </row>
    <row r="169" spans="1:16" ht="15" thickBot="1">
      <c r="A169" s="871"/>
      <c r="B169" s="872"/>
      <c r="C169" s="872"/>
      <c r="D169" s="872"/>
      <c r="E169" s="872"/>
      <c r="F169" s="872"/>
      <c r="G169" s="873"/>
      <c r="H169" s="865"/>
      <c r="I169" s="865"/>
      <c r="J169" s="865"/>
      <c r="K169" s="865"/>
      <c r="L169" s="865"/>
      <c r="M169" s="865"/>
      <c r="N169" s="865"/>
      <c r="O169" s="865"/>
      <c r="P169" s="865"/>
    </row>
    <row r="170" spans="1:16" ht="15" thickBot="1">
      <c r="A170" s="1036" t="s">
        <v>688</v>
      </c>
      <c r="B170" s="1037"/>
      <c r="C170" s="1037"/>
      <c r="D170" s="1037"/>
      <c r="E170" s="1037"/>
      <c r="F170" s="1037"/>
      <c r="G170" s="1038"/>
      <c r="H170" s="865"/>
      <c r="I170" s="865"/>
      <c r="J170" s="865"/>
      <c r="K170" s="865"/>
      <c r="L170" s="865"/>
      <c r="M170" s="865"/>
      <c r="N170" s="865"/>
      <c r="O170" s="865"/>
      <c r="P170" s="865"/>
    </row>
    <row r="171" spans="1:16">
      <c r="A171" s="80"/>
      <c r="B171" s="81"/>
      <c r="C171" s="81"/>
      <c r="D171" s="81"/>
      <c r="E171" s="81"/>
      <c r="F171" s="81"/>
      <c r="G171" s="82"/>
      <c r="H171" s="865"/>
      <c r="I171" s="865"/>
      <c r="J171" s="865"/>
      <c r="K171" s="865"/>
      <c r="L171" s="865"/>
      <c r="M171" s="865"/>
      <c r="N171" s="865"/>
      <c r="O171" s="865"/>
      <c r="P171" s="865"/>
    </row>
    <row r="172" spans="1:16">
      <c r="A172" s="83"/>
      <c r="B172" s="865"/>
      <c r="C172" s="865"/>
      <c r="D172" s="865"/>
      <c r="E172" s="865"/>
      <c r="F172" s="865"/>
      <c r="G172" s="84"/>
      <c r="H172" s="865"/>
      <c r="I172" s="865"/>
      <c r="J172" s="865"/>
      <c r="K172" s="865"/>
      <c r="L172" s="865"/>
      <c r="M172" s="865"/>
      <c r="N172" s="865"/>
      <c r="O172" s="865"/>
      <c r="P172" s="865"/>
    </row>
    <row r="173" spans="1:16">
      <c r="A173" s="83"/>
      <c r="B173" s="865"/>
      <c r="C173" s="865"/>
      <c r="D173" s="865"/>
      <c r="E173" s="865"/>
      <c r="F173" s="865"/>
      <c r="G173" s="84"/>
      <c r="H173" s="865"/>
      <c r="I173" s="865"/>
      <c r="J173" s="865"/>
      <c r="K173" s="865"/>
      <c r="L173" s="865"/>
      <c r="M173" s="865"/>
      <c r="N173" s="865"/>
      <c r="O173" s="865"/>
      <c r="P173" s="865"/>
    </row>
    <row r="174" spans="1:16">
      <c r="A174" s="83"/>
      <c r="B174" s="865"/>
      <c r="C174" s="865"/>
      <c r="D174" s="865"/>
      <c r="E174" s="865"/>
      <c r="F174" s="865"/>
      <c r="G174" s="84"/>
      <c r="H174" s="865"/>
      <c r="I174" s="865"/>
      <c r="J174" s="865"/>
      <c r="K174" s="865"/>
      <c r="L174" s="865"/>
      <c r="M174" s="865"/>
      <c r="N174" s="865"/>
      <c r="O174" s="865"/>
      <c r="P174" s="865"/>
    </row>
    <row r="175" spans="1:16">
      <c r="A175" s="83"/>
      <c r="B175" s="865"/>
      <c r="C175" s="865"/>
      <c r="D175" s="865"/>
      <c r="E175" s="865"/>
      <c r="F175" s="865"/>
      <c r="G175" s="84"/>
      <c r="H175" s="865"/>
      <c r="I175" s="865"/>
      <c r="J175" s="865"/>
      <c r="K175" s="865"/>
      <c r="L175" s="865"/>
      <c r="M175" s="865"/>
      <c r="N175" s="865"/>
      <c r="O175" s="865"/>
      <c r="P175" s="865"/>
    </row>
    <row r="176" spans="1:16">
      <c r="A176" s="83"/>
      <c r="B176" s="865"/>
      <c r="C176" s="865"/>
      <c r="D176" s="865"/>
      <c r="E176" s="865"/>
      <c r="F176" s="865"/>
      <c r="G176" s="84"/>
      <c r="H176" s="865"/>
      <c r="I176" s="865"/>
      <c r="J176" s="865"/>
      <c r="K176" s="865"/>
      <c r="L176" s="865"/>
      <c r="M176" s="865"/>
      <c r="N176" s="865"/>
      <c r="O176" s="865"/>
      <c r="P176" s="865"/>
    </row>
    <row r="177" spans="1:16">
      <c r="A177" s="83"/>
      <c r="B177" s="865"/>
      <c r="C177" s="865"/>
      <c r="D177" s="865"/>
      <c r="E177" s="865"/>
      <c r="F177" s="865"/>
      <c r="G177" s="84"/>
      <c r="H177" s="865"/>
      <c r="I177" s="865"/>
      <c r="J177" s="865"/>
      <c r="K177" s="865"/>
      <c r="L177" s="865"/>
      <c r="M177" s="865"/>
      <c r="N177" s="865"/>
      <c r="O177" s="865"/>
      <c r="P177" s="865"/>
    </row>
    <row r="178" spans="1:16">
      <c r="A178" s="83"/>
      <c r="B178" s="865"/>
      <c r="C178" s="865"/>
      <c r="D178" s="865"/>
      <c r="E178" s="865"/>
      <c r="F178" s="865"/>
      <c r="G178" s="84"/>
      <c r="H178" s="865"/>
      <c r="I178" s="865"/>
      <c r="J178" s="865"/>
      <c r="K178" s="865"/>
      <c r="L178" s="865"/>
      <c r="M178" s="865"/>
      <c r="N178" s="865"/>
      <c r="O178" s="865"/>
      <c r="P178" s="865"/>
    </row>
    <row r="179" spans="1:16">
      <c r="A179" s="83"/>
      <c r="B179" s="865"/>
      <c r="C179" s="865"/>
      <c r="D179" s="865"/>
      <c r="E179" s="865"/>
      <c r="F179" s="865"/>
      <c r="G179" s="84"/>
      <c r="H179" s="865"/>
      <c r="I179" s="865"/>
      <c r="J179" s="865"/>
      <c r="K179" s="865"/>
      <c r="L179" s="865"/>
      <c r="M179" s="865"/>
      <c r="N179" s="865"/>
      <c r="O179" s="865"/>
      <c r="P179" s="865"/>
    </row>
    <row r="180" spans="1:16">
      <c r="A180" s="83"/>
      <c r="B180" s="865"/>
      <c r="C180" s="865"/>
      <c r="D180" s="865"/>
      <c r="E180" s="865"/>
      <c r="F180" s="865"/>
      <c r="G180" s="84"/>
      <c r="H180" s="865"/>
      <c r="I180" s="865"/>
      <c r="J180" s="865"/>
      <c r="K180" s="865"/>
      <c r="L180" s="865"/>
      <c r="M180" s="865"/>
      <c r="N180" s="865"/>
      <c r="O180" s="865"/>
      <c r="P180" s="865"/>
    </row>
    <row r="181" spans="1:16">
      <c r="A181" s="83"/>
      <c r="B181" s="865"/>
      <c r="C181" s="865"/>
      <c r="D181" s="865"/>
      <c r="E181" s="865"/>
      <c r="F181" s="865"/>
      <c r="G181" s="84"/>
      <c r="H181" s="865"/>
      <c r="I181" s="865"/>
      <c r="J181" s="865"/>
      <c r="K181" s="865"/>
      <c r="L181" s="865"/>
      <c r="M181" s="865"/>
      <c r="N181" s="865"/>
      <c r="O181" s="865"/>
      <c r="P181" s="865"/>
    </row>
    <row r="182" spans="1:16">
      <c r="A182" s="83"/>
      <c r="B182" s="865"/>
      <c r="C182" s="865"/>
      <c r="D182" s="865"/>
      <c r="E182" s="865"/>
      <c r="F182" s="865"/>
      <c r="G182" s="84"/>
      <c r="N182" s="865"/>
      <c r="O182" s="865"/>
      <c r="P182" s="865"/>
    </row>
    <row r="183" spans="1:16">
      <c r="A183" s="83"/>
      <c r="B183" s="865"/>
      <c r="C183" s="865"/>
      <c r="D183" s="865"/>
      <c r="E183" s="865"/>
      <c r="F183" s="865"/>
      <c r="G183" s="84"/>
      <c r="N183" s="865"/>
      <c r="O183" s="865"/>
      <c r="P183" s="865"/>
    </row>
    <row r="184" spans="1:16">
      <c r="A184" s="83"/>
      <c r="B184" s="865"/>
      <c r="C184" s="865"/>
      <c r="D184" s="865"/>
      <c r="E184" s="865"/>
      <c r="F184" s="865"/>
      <c r="G184" s="84"/>
      <c r="N184" s="865"/>
      <c r="O184" s="865"/>
      <c r="P184" s="865"/>
    </row>
    <row r="185" spans="1:16">
      <c r="A185" s="83"/>
      <c r="B185" s="865"/>
      <c r="C185" s="865"/>
      <c r="D185" s="865"/>
      <c r="E185" s="865"/>
      <c r="F185" s="865"/>
      <c r="G185" s="84"/>
      <c r="N185" s="865"/>
      <c r="O185" s="865"/>
      <c r="P185" s="865"/>
    </row>
    <row r="186" spans="1:16">
      <c r="A186" s="83"/>
      <c r="B186" s="865"/>
      <c r="C186" s="865"/>
      <c r="D186" s="865"/>
      <c r="E186" s="865"/>
      <c r="F186" s="865"/>
      <c r="G186" s="84"/>
      <c r="N186" s="865"/>
      <c r="O186" s="865"/>
      <c r="P186" s="865"/>
    </row>
    <row r="187" spans="1:16">
      <c r="A187" s="83"/>
      <c r="B187" s="865"/>
      <c r="C187" s="865"/>
      <c r="D187" s="865"/>
      <c r="E187" s="865"/>
      <c r="F187" s="865"/>
      <c r="G187" s="84"/>
      <c r="N187" s="865"/>
      <c r="O187" s="865"/>
      <c r="P187" s="865"/>
    </row>
    <row r="188" spans="1:16">
      <c r="A188" s="83"/>
      <c r="B188" s="865"/>
      <c r="C188" s="865"/>
      <c r="D188" s="865"/>
      <c r="E188" s="865"/>
      <c r="F188" s="865"/>
      <c r="G188" s="84"/>
      <c r="N188" s="865"/>
      <c r="O188" s="865"/>
      <c r="P188" s="865"/>
    </row>
    <row r="189" spans="1:16">
      <c r="A189" s="83"/>
      <c r="B189" s="865"/>
      <c r="C189" s="865"/>
      <c r="D189" s="865"/>
      <c r="E189" s="865"/>
      <c r="F189" s="865"/>
      <c r="G189" s="84"/>
      <c r="N189" s="865"/>
      <c r="O189" s="865"/>
      <c r="P189" s="865"/>
    </row>
    <row r="190" spans="1:16">
      <c r="A190" s="83"/>
      <c r="B190" s="865"/>
      <c r="C190" s="865"/>
      <c r="D190" s="865"/>
      <c r="E190" s="865"/>
      <c r="F190" s="865"/>
      <c r="G190" s="84"/>
      <c r="N190" s="865"/>
      <c r="O190" s="865"/>
      <c r="P190" s="865"/>
    </row>
    <row r="191" spans="1:16">
      <c r="A191" s="83"/>
      <c r="B191" s="865"/>
      <c r="C191" s="865"/>
      <c r="D191" s="865"/>
      <c r="E191" s="865"/>
      <c r="F191" s="865"/>
      <c r="G191" s="84"/>
      <c r="N191" s="865"/>
      <c r="O191" s="865"/>
      <c r="P191" s="865"/>
    </row>
    <row r="192" spans="1:16">
      <c r="A192" s="83"/>
      <c r="B192" s="865"/>
      <c r="C192" s="865"/>
      <c r="D192" s="865"/>
      <c r="E192" s="865"/>
      <c r="F192" s="865"/>
      <c r="G192" s="84"/>
      <c r="N192" s="865"/>
      <c r="O192" s="865"/>
      <c r="P192" s="865"/>
    </row>
    <row r="193" spans="1:17">
      <c r="A193" s="83"/>
      <c r="B193" s="865"/>
      <c r="C193" s="865"/>
      <c r="D193" s="865"/>
      <c r="E193" s="865"/>
      <c r="F193" s="865"/>
      <c r="G193" s="84"/>
      <c r="N193" s="865"/>
      <c r="O193" s="865"/>
      <c r="P193" s="865"/>
    </row>
    <row r="194" spans="1:17">
      <c r="A194" s="83"/>
      <c r="B194" s="865"/>
      <c r="C194" s="865"/>
      <c r="D194" s="865"/>
      <c r="E194" s="865"/>
      <c r="F194" s="865"/>
      <c r="G194" s="84"/>
      <c r="N194" s="865"/>
      <c r="O194" s="865"/>
      <c r="P194" s="865"/>
    </row>
    <row r="195" spans="1:17">
      <c r="A195" s="83"/>
      <c r="B195" s="865"/>
      <c r="C195" s="865"/>
      <c r="D195" s="865"/>
      <c r="E195" s="865"/>
      <c r="F195" s="865"/>
      <c r="G195" s="84"/>
      <c r="N195" s="865"/>
      <c r="O195" s="865"/>
      <c r="P195" s="865"/>
    </row>
    <row r="196" spans="1:17">
      <c r="A196" s="83"/>
      <c r="B196" s="865"/>
      <c r="C196" s="865"/>
      <c r="D196" s="865"/>
      <c r="E196" s="865"/>
      <c r="F196" s="865"/>
      <c r="G196" s="84"/>
      <c r="N196" s="865"/>
      <c r="O196" s="865"/>
      <c r="P196" s="865"/>
    </row>
    <row r="197" spans="1:17">
      <c r="A197" s="83"/>
      <c r="B197" s="865"/>
      <c r="C197" s="865"/>
      <c r="D197" s="865"/>
      <c r="E197" s="865"/>
      <c r="F197" s="865"/>
      <c r="G197" s="84"/>
      <c r="N197" s="865"/>
      <c r="O197" s="865"/>
      <c r="P197" s="865"/>
    </row>
    <row r="198" spans="1:17">
      <c r="A198" s="83"/>
      <c r="B198" s="865"/>
      <c r="C198" s="865"/>
      <c r="D198" s="865"/>
      <c r="E198" s="865"/>
      <c r="F198" s="865"/>
      <c r="G198" s="84"/>
      <c r="N198" s="865"/>
      <c r="O198" s="865"/>
      <c r="P198" s="865"/>
    </row>
    <row r="199" spans="1:17">
      <c r="A199" s="83"/>
      <c r="B199" s="865"/>
      <c r="C199" s="865"/>
      <c r="D199" s="865"/>
      <c r="E199" s="865"/>
      <c r="F199" s="865"/>
      <c r="G199" s="84"/>
      <c r="N199" s="865"/>
      <c r="O199" s="865"/>
      <c r="P199" s="865"/>
    </row>
    <row r="200" spans="1:17">
      <c r="A200" s="83"/>
      <c r="B200" s="865"/>
      <c r="C200" s="865"/>
      <c r="D200" s="865"/>
      <c r="E200" s="865"/>
      <c r="F200" s="865"/>
      <c r="G200" s="84"/>
      <c r="N200" s="865"/>
      <c r="O200" s="865"/>
      <c r="P200" s="865"/>
    </row>
    <row r="201" spans="1:17">
      <c r="A201" s="83"/>
      <c r="B201" s="865"/>
      <c r="C201" s="865"/>
      <c r="D201" s="865"/>
      <c r="E201" s="865"/>
      <c r="F201" s="865"/>
      <c r="G201" s="84"/>
      <c r="N201" s="865"/>
      <c r="O201" s="865"/>
      <c r="P201" s="865"/>
    </row>
    <row r="202" spans="1:17">
      <c r="A202" s="83"/>
      <c r="B202" s="865"/>
      <c r="C202" s="865"/>
      <c r="D202" s="865"/>
      <c r="E202" s="865"/>
      <c r="F202" s="865"/>
      <c r="G202" s="84"/>
      <c r="H202" s="865"/>
      <c r="I202" s="865"/>
      <c r="J202" s="865"/>
      <c r="K202" s="865"/>
      <c r="L202" s="865"/>
      <c r="M202" s="865"/>
      <c r="N202" s="865"/>
      <c r="O202" s="865"/>
      <c r="P202" s="865"/>
      <c r="Q202" s="865"/>
    </row>
    <row r="203" spans="1:17">
      <c r="A203" s="83"/>
      <c r="B203" s="865"/>
      <c r="C203" s="865"/>
      <c r="D203" s="865"/>
      <c r="E203" s="865"/>
      <c r="F203" s="865"/>
      <c r="G203" s="84"/>
      <c r="H203" s="865"/>
      <c r="I203" s="865"/>
      <c r="J203" s="865"/>
      <c r="K203" s="865"/>
      <c r="L203" s="865"/>
      <c r="M203" s="865"/>
      <c r="N203" s="865"/>
      <c r="O203" s="865"/>
      <c r="P203" s="865"/>
      <c r="Q203" s="865"/>
    </row>
    <row r="204" spans="1:17">
      <c r="A204" s="83"/>
      <c r="B204" s="865"/>
      <c r="C204" s="865"/>
      <c r="D204" s="865"/>
      <c r="E204" s="865"/>
      <c r="F204" s="865"/>
      <c r="G204" s="84"/>
      <c r="H204" s="865"/>
      <c r="I204" s="865"/>
      <c r="J204" s="865"/>
      <c r="K204" s="865"/>
      <c r="L204" s="865"/>
      <c r="M204" s="865"/>
      <c r="N204" s="865"/>
      <c r="O204" s="865"/>
      <c r="P204" s="865"/>
      <c r="Q204" s="865"/>
    </row>
    <row r="205" spans="1:17">
      <c r="A205" s="83"/>
      <c r="B205" s="865"/>
      <c r="C205" s="865"/>
      <c r="D205" s="865"/>
      <c r="E205" s="865"/>
      <c r="F205" s="865"/>
      <c r="G205" s="84"/>
      <c r="H205" s="865"/>
      <c r="I205" s="865"/>
      <c r="J205" s="865"/>
      <c r="K205" s="865"/>
      <c r="L205" s="865"/>
      <c r="M205" s="865"/>
      <c r="N205" s="865"/>
      <c r="O205" s="865"/>
      <c r="P205" s="865"/>
      <c r="Q205" s="865"/>
    </row>
    <row r="206" spans="1:17">
      <c r="A206" s="83"/>
      <c r="B206" s="865"/>
      <c r="C206" s="865"/>
      <c r="D206" s="865"/>
      <c r="E206" s="865"/>
      <c r="F206" s="865"/>
      <c r="G206" s="84"/>
      <c r="H206" s="865"/>
      <c r="I206" s="865"/>
      <c r="J206" s="865"/>
      <c r="K206" s="865"/>
      <c r="L206" s="865"/>
      <c r="M206" s="865"/>
      <c r="N206" s="865"/>
      <c r="O206" s="865"/>
      <c r="P206" s="865"/>
      <c r="Q206" s="865"/>
    </row>
    <row r="207" spans="1:17">
      <c r="A207" s="83"/>
      <c r="B207" s="865"/>
      <c r="C207" s="865"/>
      <c r="D207" s="865"/>
      <c r="E207" s="865"/>
      <c r="F207" s="865"/>
      <c r="G207" s="84"/>
      <c r="H207" s="865"/>
      <c r="I207" s="865"/>
      <c r="J207" s="865"/>
      <c r="K207" s="865"/>
      <c r="L207" s="865"/>
      <c r="M207" s="865"/>
      <c r="N207" s="865"/>
      <c r="O207" s="865"/>
      <c r="P207" s="865"/>
      <c r="Q207" s="865"/>
    </row>
    <row r="208" spans="1:17">
      <c r="A208" s="83"/>
      <c r="B208" s="865"/>
      <c r="C208" s="1032" t="s">
        <v>207</v>
      </c>
      <c r="D208" s="1032"/>
      <c r="E208" s="1032"/>
      <c r="F208" s="865"/>
      <c r="G208" s="84"/>
      <c r="H208" s="865"/>
      <c r="I208" s="865"/>
      <c r="J208" s="865"/>
      <c r="K208" s="865"/>
      <c r="L208" s="865"/>
      <c r="M208" s="865"/>
      <c r="N208" s="865"/>
      <c r="O208" s="865"/>
      <c r="P208" s="865"/>
      <c r="Q208" s="865"/>
    </row>
    <row r="209" spans="1:17">
      <c r="A209" s="83"/>
      <c r="B209" s="865"/>
      <c r="C209" s="85" t="s">
        <v>195</v>
      </c>
      <c r="D209" s="85" t="s">
        <v>190</v>
      </c>
      <c r="E209" s="85" t="s">
        <v>197</v>
      </c>
      <c r="F209" s="865"/>
      <c r="G209" s="84"/>
      <c r="H209" s="865"/>
      <c r="I209" s="865"/>
      <c r="J209" s="865"/>
      <c r="K209" s="865"/>
      <c r="L209" s="865"/>
      <c r="M209" s="865"/>
      <c r="N209" s="865"/>
      <c r="O209" s="865"/>
      <c r="P209" s="865"/>
      <c r="Q209" s="865"/>
    </row>
    <row r="210" spans="1:17">
      <c r="A210" s="83"/>
      <c r="B210" s="865"/>
      <c r="C210" s="86">
        <v>68.48</v>
      </c>
      <c r="D210" s="86">
        <v>54.33</v>
      </c>
      <c r="E210" s="86">
        <v>68.41</v>
      </c>
      <c r="F210" s="865"/>
      <c r="G210" s="84"/>
      <c r="H210" s="865"/>
      <c r="I210" s="865"/>
      <c r="J210" s="865"/>
      <c r="K210" s="865"/>
      <c r="L210" s="865"/>
      <c r="M210" s="865"/>
      <c r="N210" s="865"/>
      <c r="O210" s="865"/>
      <c r="P210" s="865"/>
      <c r="Q210" s="865"/>
    </row>
    <row r="211" spans="1:17" ht="15">
      <c r="A211" s="83"/>
      <c r="B211" s="865"/>
      <c r="C211" s="1033">
        <f>(C210+D210+E210)/3</f>
        <v>63.74</v>
      </c>
      <c r="D211" s="1034"/>
      <c r="E211" s="1035"/>
      <c r="F211" s="865"/>
      <c r="G211" s="84"/>
      <c r="H211" s="865"/>
      <c r="I211" s="865"/>
      <c r="J211" s="865"/>
      <c r="K211" s="865"/>
      <c r="L211" s="865"/>
      <c r="M211" s="865"/>
      <c r="N211" s="865"/>
      <c r="O211" s="865"/>
      <c r="P211" s="865"/>
      <c r="Q211" s="865"/>
    </row>
    <row r="212" spans="1:17" ht="15" thickBot="1">
      <c r="A212" s="87"/>
      <c r="B212" s="88"/>
      <c r="C212" s="88"/>
      <c r="D212" s="88"/>
      <c r="E212" s="88"/>
      <c r="F212" s="88"/>
      <c r="G212" s="89"/>
      <c r="H212" s="865"/>
      <c r="I212" s="865"/>
      <c r="J212" s="865"/>
      <c r="K212" s="865"/>
      <c r="L212" s="865"/>
      <c r="M212" s="865"/>
      <c r="N212" s="865"/>
      <c r="O212" s="865"/>
      <c r="P212" s="865"/>
      <c r="Q212" s="865"/>
    </row>
    <row r="213" spans="1:17" ht="15" thickBot="1">
      <c r="A213" s="871"/>
      <c r="B213" s="872"/>
      <c r="C213" s="872"/>
      <c r="D213" s="872"/>
      <c r="E213" s="872"/>
      <c r="F213" s="872"/>
      <c r="G213" s="873"/>
      <c r="H213" s="865"/>
      <c r="I213" s="865"/>
      <c r="J213" s="865"/>
      <c r="K213" s="865"/>
      <c r="L213" s="865"/>
      <c r="M213" s="865"/>
      <c r="N213" s="865"/>
      <c r="O213" s="865"/>
      <c r="P213" s="865"/>
      <c r="Q213" s="865"/>
    </row>
    <row r="214" spans="1:17" ht="15" thickBot="1">
      <c r="A214" s="1036" t="s">
        <v>689</v>
      </c>
      <c r="B214" s="1037"/>
      <c r="C214" s="1037"/>
      <c r="D214" s="1037"/>
      <c r="E214" s="1037"/>
      <c r="F214" s="1037"/>
      <c r="G214" s="1038"/>
      <c r="H214" s="865"/>
      <c r="I214" s="865"/>
      <c r="J214" s="865"/>
      <c r="K214" s="865"/>
      <c r="L214" s="865"/>
      <c r="M214" s="865"/>
      <c r="N214" s="865"/>
      <c r="O214" s="865"/>
      <c r="P214" s="865"/>
      <c r="Q214" s="865"/>
    </row>
    <row r="215" spans="1:17">
      <c r="A215" s="80"/>
      <c r="B215" s="81"/>
      <c r="C215" s="81"/>
      <c r="D215" s="81"/>
      <c r="E215" s="81"/>
      <c r="F215" s="81"/>
      <c r="G215" s="82"/>
      <c r="H215" s="865"/>
      <c r="I215" s="865"/>
      <c r="J215" s="865"/>
      <c r="K215" s="865"/>
      <c r="L215" s="865"/>
      <c r="M215" s="865"/>
      <c r="N215" s="865"/>
      <c r="O215" s="865"/>
      <c r="P215" s="865"/>
      <c r="Q215" s="865"/>
    </row>
    <row r="216" spans="1:17">
      <c r="A216" s="83"/>
      <c r="B216" s="865"/>
      <c r="C216" s="865"/>
      <c r="D216" s="865"/>
      <c r="E216" s="865"/>
      <c r="F216" s="865"/>
      <c r="G216" s="84"/>
      <c r="H216" s="865"/>
      <c r="I216" s="865"/>
      <c r="J216" s="865"/>
      <c r="K216" s="865"/>
      <c r="L216" s="865"/>
      <c r="M216" s="865"/>
      <c r="N216" s="865"/>
      <c r="O216" s="865"/>
      <c r="P216" s="865"/>
      <c r="Q216" s="865"/>
    </row>
    <row r="217" spans="1:17">
      <c r="A217" s="83"/>
      <c r="B217" s="865"/>
      <c r="C217" s="865"/>
      <c r="D217" s="865"/>
      <c r="E217" s="865"/>
      <c r="F217" s="865"/>
      <c r="G217" s="84"/>
      <c r="H217" s="865"/>
      <c r="I217" s="865"/>
      <c r="J217" s="865"/>
      <c r="K217" s="865"/>
      <c r="L217" s="865"/>
      <c r="M217" s="865"/>
      <c r="N217" s="865"/>
      <c r="O217" s="865"/>
      <c r="P217" s="865"/>
      <c r="Q217" s="865"/>
    </row>
    <row r="218" spans="1:17">
      <c r="A218" s="83"/>
      <c r="B218" s="865"/>
      <c r="C218" s="865"/>
      <c r="D218" s="865"/>
      <c r="E218" s="865"/>
      <c r="F218" s="865"/>
      <c r="G218" s="84"/>
      <c r="H218" s="865"/>
      <c r="I218" s="865"/>
      <c r="J218" s="865"/>
      <c r="K218" s="865"/>
      <c r="L218" s="865"/>
      <c r="M218" s="865"/>
      <c r="N218" s="865"/>
      <c r="O218" s="865"/>
      <c r="P218" s="865"/>
      <c r="Q218" s="865"/>
    </row>
    <row r="219" spans="1:17">
      <c r="A219" s="83"/>
      <c r="B219" s="865"/>
      <c r="C219" s="865"/>
      <c r="D219" s="865"/>
      <c r="E219" s="865"/>
      <c r="F219" s="865"/>
      <c r="G219" s="84"/>
      <c r="H219" s="865"/>
      <c r="I219" s="865"/>
      <c r="J219" s="865"/>
      <c r="K219" s="865"/>
      <c r="L219" s="865"/>
      <c r="M219" s="865"/>
      <c r="N219" s="865"/>
      <c r="O219" s="865"/>
      <c r="P219" s="865"/>
      <c r="Q219" s="865"/>
    </row>
    <row r="220" spans="1:17">
      <c r="A220" s="83"/>
      <c r="B220" s="865"/>
      <c r="C220" s="865"/>
      <c r="D220" s="865"/>
      <c r="E220" s="865"/>
      <c r="F220" s="865"/>
      <c r="G220" s="84"/>
      <c r="H220" s="865"/>
      <c r="I220" s="865"/>
      <c r="J220" s="865"/>
      <c r="K220" s="865"/>
      <c r="L220" s="865"/>
      <c r="M220" s="865"/>
      <c r="N220" s="865"/>
      <c r="O220" s="865"/>
      <c r="P220" s="865"/>
      <c r="Q220" s="865"/>
    </row>
    <row r="221" spans="1:17">
      <c r="A221" s="83"/>
      <c r="B221" s="865"/>
      <c r="C221" s="865"/>
      <c r="D221" s="865"/>
      <c r="E221" s="865"/>
      <c r="F221" s="865"/>
      <c r="G221" s="84"/>
      <c r="H221" s="865"/>
      <c r="I221" s="865"/>
      <c r="J221" s="865"/>
      <c r="K221" s="865"/>
      <c r="L221" s="865"/>
      <c r="M221" s="865"/>
      <c r="N221" s="865"/>
      <c r="O221" s="865"/>
      <c r="P221" s="865"/>
      <c r="Q221" s="865"/>
    </row>
    <row r="222" spans="1:17">
      <c r="A222" s="83"/>
      <c r="B222" s="865"/>
      <c r="C222" s="865"/>
      <c r="D222" s="865"/>
      <c r="E222" s="865"/>
      <c r="F222" s="865"/>
      <c r="G222" s="84"/>
      <c r="H222" s="865"/>
      <c r="I222" s="865"/>
      <c r="J222" s="865"/>
      <c r="K222" s="865"/>
      <c r="L222" s="865"/>
      <c r="M222" s="865"/>
      <c r="N222" s="865"/>
      <c r="O222" s="865"/>
      <c r="P222" s="865"/>
      <c r="Q222" s="865"/>
    </row>
    <row r="223" spans="1:17">
      <c r="A223" s="83"/>
      <c r="B223" s="865"/>
      <c r="C223" s="865"/>
      <c r="D223" s="865"/>
      <c r="E223" s="865"/>
      <c r="F223" s="865"/>
      <c r="G223" s="84"/>
      <c r="H223" s="865"/>
      <c r="I223" s="865"/>
      <c r="J223" s="865"/>
      <c r="K223" s="865"/>
      <c r="L223" s="865"/>
      <c r="M223" s="865"/>
      <c r="N223" s="865"/>
      <c r="O223" s="865"/>
      <c r="P223" s="865"/>
      <c r="Q223" s="865"/>
    </row>
    <row r="224" spans="1:17">
      <c r="A224" s="83"/>
      <c r="B224" s="865"/>
      <c r="C224" s="865"/>
      <c r="D224" s="865"/>
      <c r="E224" s="865"/>
      <c r="F224" s="865"/>
      <c r="G224" s="84"/>
      <c r="H224" s="865"/>
      <c r="I224" s="865"/>
      <c r="J224" s="865"/>
      <c r="K224" s="865"/>
      <c r="L224" s="865"/>
      <c r="M224" s="865"/>
      <c r="N224" s="865"/>
      <c r="O224" s="865"/>
      <c r="P224" s="865"/>
      <c r="Q224" s="865"/>
    </row>
    <row r="225" spans="1:17">
      <c r="A225" s="83"/>
      <c r="B225" s="865"/>
      <c r="C225" s="865"/>
      <c r="D225" s="865"/>
      <c r="E225" s="865"/>
      <c r="F225" s="865"/>
      <c r="G225" s="84"/>
      <c r="H225" s="865"/>
      <c r="I225" s="865"/>
      <c r="J225" s="865"/>
      <c r="K225" s="865"/>
      <c r="L225" s="865"/>
      <c r="M225" s="865"/>
      <c r="N225" s="865"/>
      <c r="O225" s="865"/>
      <c r="P225" s="865"/>
      <c r="Q225" s="865"/>
    </row>
    <row r="226" spans="1:17">
      <c r="A226" s="83"/>
      <c r="B226" s="865"/>
      <c r="C226" s="865"/>
      <c r="D226" s="865"/>
      <c r="E226" s="865"/>
      <c r="F226" s="865"/>
      <c r="G226" s="84"/>
      <c r="H226" s="865"/>
      <c r="I226" s="865"/>
      <c r="J226" s="865"/>
      <c r="K226" s="865"/>
      <c r="L226" s="865"/>
      <c r="M226" s="865"/>
      <c r="N226" s="865"/>
      <c r="O226" s="865"/>
      <c r="P226" s="865"/>
      <c r="Q226" s="865"/>
    </row>
    <row r="227" spans="1:17">
      <c r="A227" s="83"/>
      <c r="B227" s="865"/>
      <c r="C227" s="865"/>
      <c r="D227" s="865"/>
      <c r="E227" s="865"/>
      <c r="F227" s="865"/>
      <c r="G227" s="84"/>
      <c r="H227" s="865"/>
      <c r="I227" s="865"/>
      <c r="J227" s="865"/>
      <c r="K227" s="865"/>
      <c r="L227" s="865"/>
      <c r="M227" s="865"/>
      <c r="N227" s="865"/>
      <c r="O227" s="865"/>
      <c r="P227" s="865"/>
      <c r="Q227" s="865"/>
    </row>
    <row r="228" spans="1:17">
      <c r="A228" s="83"/>
      <c r="B228" s="865"/>
      <c r="C228" s="865"/>
      <c r="D228" s="865"/>
      <c r="E228" s="865"/>
      <c r="F228" s="865"/>
      <c r="G228" s="84"/>
      <c r="H228" s="865"/>
      <c r="I228" s="865"/>
      <c r="J228" s="865"/>
      <c r="K228" s="865"/>
      <c r="L228" s="865"/>
      <c r="M228" s="865"/>
      <c r="N228" s="865"/>
      <c r="O228" s="865"/>
      <c r="P228" s="865"/>
      <c r="Q228" s="865"/>
    </row>
    <row r="229" spans="1:17">
      <c r="A229" s="83"/>
      <c r="B229" s="865"/>
      <c r="C229" s="865"/>
      <c r="D229" s="865"/>
      <c r="E229" s="865"/>
      <c r="F229" s="865"/>
      <c r="G229" s="84"/>
      <c r="H229" s="865"/>
      <c r="I229" s="865"/>
      <c r="J229" s="865"/>
      <c r="K229" s="865"/>
      <c r="L229" s="865"/>
      <c r="M229" s="865"/>
      <c r="N229" s="865"/>
      <c r="O229" s="865"/>
      <c r="P229" s="865"/>
      <c r="Q229" s="865"/>
    </row>
    <row r="230" spans="1:17">
      <c r="A230" s="83"/>
      <c r="B230" s="865"/>
      <c r="C230" s="865"/>
      <c r="D230" s="865"/>
      <c r="E230" s="865"/>
      <c r="F230" s="865"/>
      <c r="G230" s="84"/>
      <c r="H230" s="865"/>
      <c r="I230" s="865"/>
      <c r="J230" s="865"/>
      <c r="K230" s="865"/>
      <c r="L230" s="865"/>
      <c r="M230" s="865"/>
      <c r="N230" s="865"/>
      <c r="O230" s="865"/>
      <c r="P230" s="865"/>
      <c r="Q230" s="865"/>
    </row>
    <row r="231" spans="1:17">
      <c r="A231" s="83"/>
      <c r="B231" s="865"/>
      <c r="C231" s="865"/>
      <c r="D231" s="865"/>
      <c r="E231" s="865"/>
      <c r="F231" s="865"/>
      <c r="G231" s="84"/>
      <c r="H231" s="865"/>
      <c r="I231" s="865"/>
      <c r="J231" s="865"/>
      <c r="K231" s="865"/>
      <c r="L231" s="865"/>
      <c r="M231" s="865"/>
      <c r="N231" s="865"/>
      <c r="O231" s="865"/>
      <c r="P231" s="865"/>
      <c r="Q231" s="865"/>
    </row>
    <row r="232" spans="1:17">
      <c r="A232" s="83"/>
      <c r="B232" s="865"/>
      <c r="C232" s="865"/>
      <c r="D232" s="865"/>
      <c r="E232" s="865"/>
      <c r="F232" s="865"/>
      <c r="G232" s="84"/>
      <c r="H232" s="865"/>
      <c r="I232" s="865"/>
      <c r="J232" s="865"/>
      <c r="K232" s="865"/>
      <c r="L232" s="865"/>
      <c r="M232" s="865"/>
      <c r="N232" s="865"/>
      <c r="O232" s="865"/>
      <c r="P232" s="865"/>
      <c r="Q232" s="865"/>
    </row>
    <row r="233" spans="1:17">
      <c r="A233" s="83"/>
      <c r="B233" s="865"/>
      <c r="C233" s="865"/>
      <c r="D233" s="865"/>
      <c r="E233" s="865"/>
      <c r="F233" s="865"/>
      <c r="G233" s="84"/>
      <c r="H233" s="865"/>
      <c r="I233" s="865"/>
      <c r="J233" s="865"/>
      <c r="K233" s="865"/>
      <c r="L233" s="865"/>
      <c r="M233" s="865"/>
      <c r="N233" s="865"/>
      <c r="O233" s="865"/>
      <c r="P233" s="865"/>
      <c r="Q233" s="865"/>
    </row>
    <row r="234" spans="1:17">
      <c r="A234" s="83"/>
      <c r="B234" s="865"/>
      <c r="C234" s="865"/>
      <c r="D234" s="865"/>
      <c r="E234" s="865"/>
      <c r="F234" s="865"/>
      <c r="G234" s="84"/>
      <c r="H234" s="865"/>
      <c r="I234" s="865"/>
      <c r="J234" s="865"/>
      <c r="K234" s="865"/>
      <c r="L234" s="865"/>
      <c r="M234" s="865"/>
      <c r="N234" s="865"/>
      <c r="O234" s="865"/>
      <c r="P234" s="865"/>
      <c r="Q234" s="865"/>
    </row>
    <row r="235" spans="1:17">
      <c r="A235" s="83"/>
      <c r="B235" s="865"/>
      <c r="C235" s="865"/>
      <c r="D235" s="865"/>
      <c r="E235" s="865"/>
      <c r="F235" s="865"/>
      <c r="G235" s="84"/>
      <c r="H235" s="865"/>
      <c r="I235" s="865"/>
      <c r="J235" s="865"/>
      <c r="K235" s="865"/>
      <c r="L235" s="865"/>
      <c r="M235" s="865"/>
      <c r="N235" s="865"/>
      <c r="O235" s="865"/>
      <c r="P235" s="865"/>
      <c r="Q235" s="865"/>
    </row>
    <row r="236" spans="1:17">
      <c r="A236" s="83"/>
      <c r="B236" s="865"/>
      <c r="C236" s="865"/>
      <c r="D236" s="865"/>
      <c r="E236" s="865"/>
      <c r="F236" s="865"/>
      <c r="G236" s="84"/>
      <c r="H236" s="865"/>
      <c r="I236" s="865"/>
      <c r="J236" s="865"/>
      <c r="K236" s="865"/>
      <c r="L236" s="865"/>
      <c r="M236" s="865"/>
      <c r="N236" s="865"/>
      <c r="O236" s="865"/>
      <c r="P236" s="865"/>
      <c r="Q236" s="865"/>
    </row>
    <row r="237" spans="1:17">
      <c r="A237" s="83"/>
      <c r="B237" s="865"/>
      <c r="C237" s="865"/>
      <c r="D237" s="865"/>
      <c r="E237" s="865"/>
      <c r="F237" s="865"/>
      <c r="G237" s="84"/>
      <c r="H237" s="865"/>
      <c r="I237" s="865"/>
      <c r="J237" s="865"/>
      <c r="K237" s="865"/>
      <c r="L237" s="865"/>
      <c r="M237" s="865"/>
      <c r="N237" s="865"/>
      <c r="O237" s="865"/>
      <c r="P237" s="865"/>
      <c r="Q237" s="865"/>
    </row>
    <row r="238" spans="1:17">
      <c r="A238" s="83"/>
      <c r="B238" s="865"/>
      <c r="C238" s="865"/>
      <c r="D238" s="865"/>
      <c r="E238" s="865"/>
      <c r="F238" s="865"/>
      <c r="G238" s="84"/>
      <c r="H238" s="865"/>
      <c r="I238" s="865"/>
      <c r="J238" s="865"/>
      <c r="K238" s="865"/>
      <c r="L238" s="865"/>
      <c r="M238" s="865"/>
      <c r="N238" s="865"/>
      <c r="O238" s="865"/>
      <c r="P238" s="865"/>
      <c r="Q238" s="865"/>
    </row>
    <row r="239" spans="1:17">
      <c r="A239" s="83"/>
      <c r="B239" s="865"/>
      <c r="C239" s="865"/>
      <c r="D239" s="865"/>
      <c r="E239" s="865"/>
      <c r="F239" s="865"/>
      <c r="G239" s="84"/>
      <c r="H239" s="865"/>
      <c r="I239" s="865"/>
      <c r="J239" s="865"/>
      <c r="K239" s="865"/>
      <c r="L239" s="865"/>
      <c r="M239" s="865"/>
      <c r="N239" s="865"/>
      <c r="O239" s="865"/>
      <c r="P239" s="865"/>
      <c r="Q239" s="865"/>
    </row>
    <row r="240" spans="1:17">
      <c r="A240" s="83"/>
      <c r="B240" s="865"/>
      <c r="C240" s="865"/>
      <c r="D240" s="865"/>
      <c r="E240" s="865"/>
      <c r="F240" s="865"/>
      <c r="G240" s="84"/>
      <c r="H240" s="865"/>
      <c r="I240" s="865"/>
      <c r="J240" s="865"/>
      <c r="K240" s="865"/>
      <c r="L240" s="865"/>
      <c r="M240" s="865"/>
      <c r="N240" s="865"/>
      <c r="O240" s="865"/>
      <c r="P240" s="865"/>
      <c r="Q240" s="865"/>
    </row>
    <row r="241" spans="1:17">
      <c r="A241" s="83"/>
      <c r="B241" s="865"/>
      <c r="C241" s="865"/>
      <c r="D241" s="865"/>
      <c r="E241" s="865"/>
      <c r="F241" s="865"/>
      <c r="G241" s="84"/>
      <c r="H241" s="865"/>
      <c r="I241" s="865"/>
      <c r="J241" s="865"/>
      <c r="K241" s="865"/>
      <c r="L241" s="865"/>
      <c r="M241" s="865"/>
      <c r="N241" s="865"/>
      <c r="O241" s="865"/>
      <c r="P241" s="865"/>
      <c r="Q241" s="865"/>
    </row>
    <row r="242" spans="1:17">
      <c r="A242" s="83"/>
      <c r="B242" s="865"/>
      <c r="C242" s="865"/>
      <c r="D242" s="865"/>
      <c r="E242" s="865"/>
      <c r="F242" s="865"/>
      <c r="G242" s="84"/>
      <c r="H242" s="865"/>
      <c r="I242" s="865"/>
      <c r="J242" s="865"/>
      <c r="K242" s="865"/>
      <c r="L242" s="865"/>
      <c r="M242" s="865"/>
      <c r="N242" s="865"/>
      <c r="O242" s="865"/>
      <c r="P242" s="865"/>
      <c r="Q242" s="865"/>
    </row>
    <row r="243" spans="1:17">
      <c r="A243" s="83"/>
      <c r="B243" s="865"/>
      <c r="C243" s="865"/>
      <c r="D243" s="865"/>
      <c r="E243" s="865"/>
      <c r="F243" s="865"/>
      <c r="G243" s="84"/>
      <c r="H243" s="865"/>
      <c r="I243" s="865"/>
      <c r="J243" s="865"/>
      <c r="K243" s="865"/>
      <c r="L243" s="865"/>
      <c r="M243" s="865"/>
      <c r="N243" s="865"/>
      <c r="O243" s="865"/>
      <c r="P243" s="865"/>
      <c r="Q243" s="865"/>
    </row>
    <row r="244" spans="1:17">
      <c r="A244" s="83"/>
      <c r="B244" s="865"/>
      <c r="C244" s="865"/>
      <c r="D244" s="865"/>
      <c r="E244" s="865"/>
      <c r="F244" s="865"/>
      <c r="G244" s="84"/>
      <c r="H244" s="865"/>
      <c r="I244" s="865"/>
      <c r="J244" s="865"/>
      <c r="K244" s="865"/>
      <c r="L244" s="865"/>
      <c r="M244" s="865"/>
      <c r="N244" s="865"/>
      <c r="O244" s="865"/>
      <c r="P244" s="865"/>
      <c r="Q244" s="865"/>
    </row>
    <row r="245" spans="1:17">
      <c r="A245" s="83"/>
      <c r="B245" s="865"/>
      <c r="C245" s="865"/>
      <c r="D245" s="865"/>
      <c r="E245" s="865"/>
      <c r="F245" s="865"/>
      <c r="G245" s="84"/>
      <c r="N245" s="865"/>
      <c r="O245" s="865"/>
      <c r="P245" s="865"/>
    </row>
    <row r="246" spans="1:17">
      <c r="A246" s="83"/>
      <c r="B246" s="865"/>
      <c r="C246" s="865"/>
      <c r="D246" s="865"/>
      <c r="E246" s="865"/>
      <c r="F246" s="865"/>
      <c r="G246" s="84"/>
      <c r="N246" s="865"/>
      <c r="O246" s="865"/>
      <c r="P246" s="865"/>
    </row>
    <row r="247" spans="1:17">
      <c r="A247" s="83"/>
      <c r="B247" s="865"/>
      <c r="C247" s="865"/>
      <c r="D247" s="865"/>
      <c r="E247" s="865"/>
      <c r="F247" s="865"/>
      <c r="G247" s="84"/>
      <c r="N247" s="865"/>
      <c r="O247" s="865"/>
      <c r="P247" s="865"/>
    </row>
    <row r="248" spans="1:17">
      <c r="A248" s="83"/>
      <c r="B248" s="865"/>
      <c r="C248" s="865"/>
      <c r="D248" s="865"/>
      <c r="E248" s="865"/>
      <c r="F248" s="865"/>
      <c r="G248" s="84"/>
      <c r="N248" s="865"/>
      <c r="O248" s="865"/>
      <c r="P248" s="865"/>
    </row>
    <row r="249" spans="1:17">
      <c r="A249" s="83"/>
      <c r="B249" s="865"/>
      <c r="C249" s="865"/>
      <c r="D249" s="865"/>
      <c r="E249" s="865"/>
      <c r="F249" s="865"/>
      <c r="G249" s="84"/>
      <c r="N249" s="865"/>
      <c r="O249" s="865"/>
      <c r="P249" s="865"/>
    </row>
    <row r="250" spans="1:17">
      <c r="A250" s="83"/>
      <c r="B250" s="865"/>
      <c r="C250" s="865"/>
      <c r="D250" s="865"/>
      <c r="E250" s="865"/>
      <c r="F250" s="865"/>
      <c r="G250" s="84"/>
      <c r="N250" s="865"/>
      <c r="O250" s="865"/>
      <c r="P250" s="865"/>
    </row>
    <row r="251" spans="1:17">
      <c r="A251" s="83"/>
      <c r="B251" s="865"/>
      <c r="C251" s="865"/>
      <c r="D251" s="865"/>
      <c r="E251" s="865"/>
      <c r="F251" s="865"/>
      <c r="G251" s="84"/>
      <c r="N251" s="865"/>
      <c r="O251" s="865"/>
      <c r="P251" s="865"/>
    </row>
    <row r="252" spans="1:17">
      <c r="A252" s="83"/>
      <c r="B252" s="865"/>
      <c r="C252" s="865"/>
      <c r="D252" s="865"/>
      <c r="E252" s="865"/>
      <c r="F252" s="865"/>
      <c r="G252" s="84"/>
      <c r="N252" s="865"/>
      <c r="O252" s="865"/>
      <c r="P252" s="865"/>
    </row>
    <row r="253" spans="1:17">
      <c r="A253" s="83"/>
      <c r="B253" s="865"/>
      <c r="C253" s="1032" t="s">
        <v>208</v>
      </c>
      <c r="D253" s="1032"/>
      <c r="E253" s="1032"/>
      <c r="F253" s="865"/>
      <c r="G253" s="84"/>
      <c r="H253" s="865"/>
      <c r="I253" s="865"/>
      <c r="J253" s="865"/>
      <c r="K253" s="865"/>
      <c r="L253" s="865"/>
      <c r="M253" s="865"/>
      <c r="N253" s="865"/>
      <c r="O253" s="865"/>
      <c r="P253" s="865"/>
    </row>
    <row r="254" spans="1:17">
      <c r="A254" s="83"/>
      <c r="B254" s="865"/>
      <c r="C254" s="85" t="s">
        <v>195</v>
      </c>
      <c r="D254" s="85" t="s">
        <v>190</v>
      </c>
      <c r="E254" s="85" t="s">
        <v>198</v>
      </c>
      <c r="F254" s="865"/>
      <c r="G254" s="84"/>
      <c r="H254" s="865"/>
      <c r="I254" s="865"/>
      <c r="J254" s="865"/>
      <c r="K254" s="865"/>
      <c r="L254" s="865"/>
      <c r="M254" s="865"/>
      <c r="N254" s="865"/>
      <c r="O254" s="865"/>
      <c r="P254" s="865"/>
    </row>
    <row r="255" spans="1:17">
      <c r="A255" s="83"/>
      <c r="B255" s="865"/>
      <c r="C255" s="86">
        <v>20.58</v>
      </c>
      <c r="D255" s="86">
        <v>29.6</v>
      </c>
      <c r="E255" s="86">
        <v>25</v>
      </c>
      <c r="F255" s="865"/>
      <c r="G255" s="84"/>
      <c r="H255" s="865"/>
      <c r="I255" s="865"/>
      <c r="J255" s="865"/>
      <c r="K255" s="865"/>
      <c r="L255" s="865"/>
      <c r="M255" s="865"/>
      <c r="N255" s="865"/>
      <c r="O255" s="865"/>
      <c r="P255" s="865"/>
    </row>
    <row r="256" spans="1:17" ht="15">
      <c r="A256" s="83"/>
      <c r="B256" s="865"/>
      <c r="C256" s="1033">
        <f>(C255+D255+E255)/3</f>
        <v>25.060000000000002</v>
      </c>
      <c r="D256" s="1034"/>
      <c r="E256" s="1035"/>
      <c r="F256" s="865"/>
      <c r="G256" s="84"/>
      <c r="H256" s="865"/>
      <c r="I256" s="865"/>
      <c r="J256" s="865"/>
      <c r="K256" s="865"/>
      <c r="L256" s="865"/>
      <c r="M256" s="865"/>
      <c r="N256" s="865"/>
      <c r="O256" s="865"/>
      <c r="P256" s="865"/>
    </row>
    <row r="257" spans="1:16" ht="15" thickBot="1">
      <c r="A257" s="87"/>
      <c r="B257" s="88"/>
      <c r="C257" s="88"/>
      <c r="D257" s="88"/>
      <c r="E257" s="88"/>
      <c r="F257" s="88"/>
      <c r="G257" s="89"/>
      <c r="H257" s="865"/>
      <c r="I257" s="865"/>
      <c r="J257" s="865"/>
      <c r="K257" s="865"/>
      <c r="L257" s="865"/>
      <c r="M257" s="865"/>
      <c r="N257" s="865"/>
      <c r="O257" s="865"/>
      <c r="P257" s="865"/>
    </row>
    <row r="258" spans="1:16" ht="15" thickBot="1">
      <c r="A258" s="871"/>
      <c r="B258" s="872"/>
      <c r="C258" s="872"/>
      <c r="D258" s="872"/>
      <c r="E258" s="872"/>
      <c r="F258" s="872"/>
      <c r="G258" s="873"/>
      <c r="H258" s="865"/>
      <c r="I258" s="865"/>
      <c r="J258" s="865"/>
      <c r="K258" s="865"/>
      <c r="L258" s="865"/>
      <c r="M258" s="865"/>
      <c r="N258" s="865"/>
      <c r="O258" s="865"/>
      <c r="P258" s="865"/>
    </row>
    <row r="259" spans="1:16" ht="15" thickBot="1">
      <c r="A259" s="1036" t="s">
        <v>690</v>
      </c>
      <c r="B259" s="1037"/>
      <c r="C259" s="1037"/>
      <c r="D259" s="1037"/>
      <c r="E259" s="1037"/>
      <c r="F259" s="1037"/>
      <c r="G259" s="1038"/>
      <c r="H259" s="865"/>
      <c r="I259" s="865"/>
      <c r="J259" s="865"/>
      <c r="K259" s="865"/>
      <c r="L259" s="865"/>
      <c r="M259" s="865"/>
      <c r="N259" s="865"/>
      <c r="O259" s="865"/>
      <c r="P259" s="865"/>
    </row>
    <row r="260" spans="1:16">
      <c r="A260" s="80"/>
      <c r="B260" s="81"/>
      <c r="C260" s="81"/>
      <c r="D260" s="81"/>
      <c r="E260" s="81"/>
      <c r="F260" s="81"/>
      <c r="G260" s="82"/>
      <c r="H260" s="865"/>
      <c r="I260" s="865"/>
      <c r="J260" s="865"/>
      <c r="K260" s="865"/>
      <c r="L260" s="865"/>
      <c r="M260" s="865"/>
      <c r="N260" s="865"/>
      <c r="O260" s="865"/>
      <c r="P260" s="865"/>
    </row>
    <row r="261" spans="1:16">
      <c r="A261" s="83"/>
      <c r="B261" s="865"/>
      <c r="C261" s="865"/>
      <c r="D261" s="865"/>
      <c r="E261" s="865"/>
      <c r="F261" s="865"/>
      <c r="G261" s="84"/>
      <c r="H261" s="865"/>
      <c r="I261" s="865"/>
      <c r="J261" s="865"/>
      <c r="K261" s="865"/>
      <c r="L261" s="865"/>
      <c r="M261" s="865"/>
      <c r="N261" s="865"/>
      <c r="O261" s="865"/>
      <c r="P261" s="865"/>
    </row>
    <row r="262" spans="1:16">
      <c r="A262" s="83"/>
      <c r="B262" s="865"/>
      <c r="C262" s="865"/>
      <c r="D262" s="865"/>
      <c r="E262" s="865"/>
      <c r="F262" s="865"/>
      <c r="G262" s="84"/>
      <c r="H262" s="865"/>
      <c r="I262" s="865"/>
      <c r="J262" s="865"/>
      <c r="K262" s="865"/>
      <c r="L262" s="865"/>
      <c r="M262" s="865"/>
      <c r="N262" s="865"/>
      <c r="O262" s="865"/>
      <c r="P262" s="865"/>
    </row>
    <row r="263" spans="1:16">
      <c r="A263" s="83"/>
      <c r="B263" s="865"/>
      <c r="C263" s="865"/>
      <c r="D263" s="865"/>
      <c r="E263" s="865"/>
      <c r="F263" s="865"/>
      <c r="G263" s="84"/>
      <c r="H263" s="865"/>
      <c r="I263" s="865"/>
      <c r="J263" s="865"/>
      <c r="K263" s="865"/>
      <c r="L263" s="865"/>
      <c r="M263" s="865"/>
      <c r="N263" s="865"/>
      <c r="O263" s="865"/>
      <c r="P263" s="865"/>
    </row>
    <row r="264" spans="1:16">
      <c r="A264" s="83"/>
      <c r="B264" s="865"/>
      <c r="C264" s="865"/>
      <c r="D264" s="865"/>
      <c r="E264" s="865"/>
      <c r="F264" s="865"/>
      <c r="G264" s="84"/>
      <c r="H264" s="865"/>
      <c r="I264" s="865"/>
      <c r="J264" s="865"/>
      <c r="K264" s="865"/>
      <c r="L264" s="865"/>
      <c r="M264" s="865"/>
      <c r="N264" s="865"/>
      <c r="O264" s="865"/>
      <c r="P264" s="865"/>
    </row>
    <row r="265" spans="1:16">
      <c r="A265" s="83"/>
      <c r="B265" s="865"/>
      <c r="C265" s="865"/>
      <c r="D265" s="865"/>
      <c r="E265" s="865"/>
      <c r="F265" s="865"/>
      <c r="G265" s="84"/>
      <c r="H265" s="865"/>
      <c r="I265" s="865"/>
      <c r="J265" s="865"/>
      <c r="K265" s="865"/>
      <c r="L265" s="865"/>
      <c r="M265" s="865"/>
      <c r="N265" s="865"/>
      <c r="O265" s="865"/>
      <c r="P265" s="865"/>
    </row>
    <row r="266" spans="1:16">
      <c r="A266" s="83"/>
      <c r="B266" s="865"/>
      <c r="C266" s="865"/>
      <c r="D266" s="865"/>
      <c r="E266" s="865"/>
      <c r="F266" s="865"/>
      <c r="G266" s="84"/>
      <c r="H266" s="865"/>
      <c r="I266" s="865"/>
      <c r="J266" s="865"/>
      <c r="K266" s="865"/>
      <c r="L266" s="865"/>
      <c r="M266" s="865"/>
      <c r="N266" s="865"/>
      <c r="O266" s="865"/>
      <c r="P266" s="865"/>
    </row>
    <row r="267" spans="1:16">
      <c r="A267" s="83"/>
      <c r="B267" s="865"/>
      <c r="C267" s="865"/>
      <c r="D267" s="865"/>
      <c r="E267" s="865"/>
      <c r="F267" s="865"/>
      <c r="G267" s="84"/>
      <c r="H267" s="865"/>
      <c r="I267" s="865"/>
      <c r="J267" s="865"/>
      <c r="K267" s="865"/>
      <c r="L267" s="865"/>
      <c r="M267" s="865"/>
      <c r="N267" s="865"/>
      <c r="O267" s="865"/>
      <c r="P267" s="865"/>
    </row>
    <row r="268" spans="1:16">
      <c r="A268" s="83"/>
      <c r="B268" s="865"/>
      <c r="C268" s="865"/>
      <c r="D268" s="865"/>
      <c r="E268" s="865"/>
      <c r="F268" s="865"/>
      <c r="G268" s="84"/>
      <c r="H268" s="865"/>
      <c r="I268" s="865"/>
      <c r="J268" s="865"/>
      <c r="K268" s="865"/>
      <c r="L268" s="865"/>
      <c r="M268" s="865"/>
      <c r="N268" s="865"/>
      <c r="O268" s="865"/>
      <c r="P268" s="865"/>
    </row>
    <row r="269" spans="1:16">
      <c r="A269" s="83"/>
      <c r="B269" s="865"/>
      <c r="C269" s="865"/>
      <c r="D269" s="865"/>
      <c r="E269" s="865"/>
      <c r="F269" s="865"/>
      <c r="G269" s="84"/>
      <c r="H269" s="865"/>
      <c r="I269" s="865"/>
      <c r="J269" s="865"/>
      <c r="K269" s="865"/>
      <c r="L269" s="865"/>
      <c r="M269" s="865"/>
      <c r="N269" s="865"/>
      <c r="O269" s="865"/>
      <c r="P269" s="865"/>
    </row>
    <row r="270" spans="1:16">
      <c r="A270" s="83"/>
      <c r="B270" s="865"/>
      <c r="C270" s="865"/>
      <c r="D270" s="865"/>
      <c r="E270" s="865"/>
      <c r="F270" s="865"/>
      <c r="G270" s="84"/>
      <c r="H270" s="865"/>
      <c r="I270" s="865"/>
      <c r="J270" s="865"/>
      <c r="K270" s="865"/>
      <c r="L270" s="865"/>
      <c r="M270" s="865"/>
      <c r="N270" s="865"/>
      <c r="O270" s="865"/>
      <c r="P270" s="865"/>
    </row>
    <row r="271" spans="1:16">
      <c r="A271" s="83"/>
      <c r="B271" s="865"/>
      <c r="C271" s="865"/>
      <c r="D271" s="865"/>
      <c r="E271" s="865"/>
      <c r="F271" s="865"/>
      <c r="G271" s="84"/>
      <c r="H271" s="865"/>
      <c r="I271" s="865"/>
      <c r="J271" s="865"/>
      <c r="K271" s="865"/>
      <c r="L271" s="865"/>
      <c r="M271" s="865"/>
      <c r="N271" s="865"/>
      <c r="O271" s="865"/>
      <c r="P271" s="865"/>
    </row>
    <row r="272" spans="1:16">
      <c r="A272" s="83"/>
      <c r="B272" s="865"/>
      <c r="C272" s="865"/>
      <c r="D272" s="865"/>
      <c r="E272" s="865"/>
      <c r="F272" s="865"/>
      <c r="G272" s="84"/>
      <c r="H272" s="865"/>
      <c r="I272" s="865"/>
      <c r="J272" s="865"/>
      <c r="K272" s="865"/>
      <c r="L272" s="865"/>
      <c r="M272" s="865"/>
      <c r="N272" s="865"/>
      <c r="O272" s="865"/>
      <c r="P272" s="865"/>
    </row>
    <row r="273" spans="1:16">
      <c r="A273" s="83"/>
      <c r="B273" s="865"/>
      <c r="C273" s="865"/>
      <c r="D273" s="865"/>
      <c r="E273" s="865"/>
      <c r="F273" s="865"/>
      <c r="G273" s="84"/>
      <c r="H273" s="865"/>
      <c r="I273" s="865"/>
      <c r="J273" s="865"/>
      <c r="K273" s="865"/>
      <c r="L273" s="865"/>
      <c r="M273" s="865"/>
      <c r="N273" s="865"/>
      <c r="O273" s="865"/>
      <c r="P273" s="865"/>
    </row>
    <row r="274" spans="1:16">
      <c r="A274" s="83"/>
      <c r="B274" s="865"/>
      <c r="C274" s="865"/>
      <c r="D274" s="865"/>
      <c r="E274" s="865"/>
      <c r="F274" s="865"/>
      <c r="G274" s="84"/>
      <c r="H274" s="865"/>
      <c r="I274" s="865"/>
      <c r="J274" s="865"/>
      <c r="K274" s="865"/>
      <c r="L274" s="865"/>
      <c r="M274" s="865"/>
      <c r="N274" s="865"/>
      <c r="O274" s="865"/>
      <c r="P274" s="865"/>
    </row>
    <row r="275" spans="1:16">
      <c r="A275" s="83"/>
      <c r="B275" s="865"/>
      <c r="C275" s="865"/>
      <c r="D275" s="865"/>
      <c r="E275" s="865"/>
      <c r="F275" s="865"/>
      <c r="G275" s="84"/>
      <c r="H275" s="865"/>
      <c r="I275" s="865"/>
      <c r="J275" s="865"/>
      <c r="K275" s="865"/>
      <c r="L275" s="865"/>
      <c r="M275" s="865"/>
      <c r="N275" s="865"/>
      <c r="O275" s="865"/>
      <c r="P275" s="865"/>
    </row>
    <row r="276" spans="1:16">
      <c r="A276" s="83"/>
      <c r="B276" s="865"/>
      <c r="C276" s="865"/>
      <c r="D276" s="865"/>
      <c r="E276" s="865"/>
      <c r="F276" s="865"/>
      <c r="G276" s="84"/>
      <c r="H276" s="865"/>
      <c r="I276" s="865"/>
      <c r="J276" s="865"/>
      <c r="K276" s="865"/>
      <c r="L276" s="865"/>
      <c r="M276" s="865"/>
      <c r="N276" s="865"/>
      <c r="O276" s="865"/>
      <c r="P276" s="865"/>
    </row>
    <row r="277" spans="1:16">
      <c r="A277" s="83"/>
      <c r="B277" s="865"/>
      <c r="C277" s="865"/>
      <c r="D277" s="865"/>
      <c r="E277" s="865"/>
      <c r="F277" s="865"/>
      <c r="G277" s="84"/>
      <c r="H277" s="865"/>
      <c r="I277" s="865"/>
      <c r="J277" s="865"/>
      <c r="K277" s="865"/>
      <c r="L277" s="865"/>
      <c r="M277" s="865"/>
      <c r="N277" s="865"/>
      <c r="O277" s="865"/>
      <c r="P277" s="865"/>
    </row>
    <row r="278" spans="1:16">
      <c r="A278" s="83"/>
      <c r="B278" s="865"/>
      <c r="C278" s="865"/>
      <c r="D278" s="865"/>
      <c r="E278" s="865"/>
      <c r="F278" s="865"/>
      <c r="G278" s="84"/>
      <c r="H278" s="865"/>
      <c r="I278" s="865"/>
      <c r="J278" s="865"/>
      <c r="K278" s="865"/>
      <c r="L278" s="865"/>
      <c r="M278" s="865"/>
      <c r="N278" s="865"/>
      <c r="O278" s="865"/>
      <c r="P278" s="865"/>
    </row>
    <row r="279" spans="1:16">
      <c r="A279" s="83"/>
      <c r="B279" s="865"/>
      <c r="C279" s="865"/>
      <c r="D279" s="865"/>
      <c r="E279" s="865"/>
      <c r="F279" s="865"/>
      <c r="G279" s="84"/>
      <c r="H279" s="865"/>
      <c r="I279" s="865"/>
      <c r="J279" s="865"/>
      <c r="K279" s="865"/>
      <c r="L279" s="865"/>
      <c r="M279" s="865"/>
      <c r="N279" s="865"/>
      <c r="O279" s="865"/>
      <c r="P279" s="865"/>
    </row>
    <row r="280" spans="1:16">
      <c r="A280" s="83"/>
      <c r="B280" s="865"/>
      <c r="C280" s="865"/>
      <c r="D280" s="865"/>
      <c r="E280" s="865"/>
      <c r="F280" s="865"/>
      <c r="G280" s="84"/>
      <c r="H280" s="865"/>
      <c r="I280" s="865"/>
      <c r="J280" s="865"/>
      <c r="K280" s="865"/>
      <c r="L280" s="865"/>
      <c r="M280" s="865"/>
      <c r="N280" s="865"/>
      <c r="O280" s="865"/>
      <c r="P280" s="865"/>
    </row>
    <row r="281" spans="1:16">
      <c r="A281" s="83"/>
      <c r="B281" s="865"/>
      <c r="C281" s="865"/>
      <c r="D281" s="865"/>
      <c r="E281" s="865"/>
      <c r="F281" s="865"/>
      <c r="G281" s="84"/>
      <c r="H281" s="865"/>
      <c r="I281" s="865"/>
      <c r="J281" s="865"/>
      <c r="K281" s="865"/>
      <c r="L281" s="865"/>
      <c r="M281" s="865"/>
      <c r="N281" s="865"/>
      <c r="O281" s="865"/>
      <c r="P281" s="865"/>
    </row>
    <row r="282" spans="1:16">
      <c r="A282" s="83"/>
      <c r="B282" s="865"/>
      <c r="C282" s="865"/>
      <c r="D282" s="865"/>
      <c r="E282" s="865"/>
      <c r="F282" s="865"/>
      <c r="G282" s="84"/>
      <c r="H282" s="865"/>
      <c r="I282" s="865"/>
      <c r="J282" s="865"/>
      <c r="K282" s="865"/>
      <c r="L282" s="865"/>
      <c r="M282" s="865"/>
      <c r="N282" s="865"/>
      <c r="O282" s="865"/>
      <c r="P282" s="865"/>
    </row>
    <row r="283" spans="1:16">
      <c r="A283" s="83"/>
      <c r="B283" s="865"/>
      <c r="C283" s="865"/>
      <c r="D283" s="865"/>
      <c r="E283" s="865"/>
      <c r="F283" s="865"/>
      <c r="G283" s="84"/>
      <c r="N283" s="865"/>
      <c r="O283" s="865"/>
      <c r="P283" s="865"/>
    </row>
    <row r="284" spans="1:16">
      <c r="A284" s="83"/>
      <c r="B284" s="865"/>
      <c r="C284" s="865"/>
      <c r="D284" s="865"/>
      <c r="E284" s="865"/>
      <c r="F284" s="865"/>
      <c r="G284" s="84"/>
      <c r="N284" s="865"/>
      <c r="O284" s="865"/>
      <c r="P284" s="865"/>
    </row>
    <row r="285" spans="1:16">
      <c r="A285" s="83"/>
      <c r="B285" s="865"/>
      <c r="C285" s="865"/>
      <c r="D285" s="865"/>
      <c r="E285" s="865"/>
      <c r="F285" s="865"/>
      <c r="G285" s="84"/>
      <c r="N285" s="865"/>
      <c r="O285" s="865"/>
      <c r="P285" s="865"/>
    </row>
    <row r="286" spans="1:16">
      <c r="A286" s="83"/>
      <c r="B286" s="865"/>
      <c r="C286" s="865"/>
      <c r="D286" s="865"/>
      <c r="E286" s="865"/>
      <c r="F286" s="865"/>
      <c r="G286" s="84"/>
      <c r="N286" s="865"/>
      <c r="O286" s="865"/>
      <c r="P286" s="865"/>
    </row>
    <row r="287" spans="1:16">
      <c r="A287" s="83"/>
      <c r="B287" s="865"/>
      <c r="C287" s="865"/>
      <c r="D287" s="865"/>
      <c r="E287" s="865"/>
      <c r="F287" s="865"/>
      <c r="G287" s="84"/>
      <c r="N287" s="865"/>
      <c r="O287" s="865"/>
      <c r="P287" s="865"/>
    </row>
    <row r="288" spans="1:16">
      <c r="A288" s="83"/>
      <c r="B288" s="865"/>
      <c r="C288" s="865"/>
      <c r="D288" s="865"/>
      <c r="E288" s="865"/>
      <c r="F288" s="865"/>
      <c r="G288" s="84"/>
      <c r="N288" s="865"/>
      <c r="O288" s="865"/>
      <c r="P288" s="865"/>
    </row>
    <row r="289" spans="1:16">
      <c r="A289" s="83"/>
      <c r="B289" s="865"/>
      <c r="C289" s="865"/>
      <c r="D289" s="865"/>
      <c r="E289" s="865"/>
      <c r="F289" s="865"/>
      <c r="G289" s="84"/>
      <c r="N289" s="865"/>
      <c r="O289" s="865"/>
      <c r="P289" s="865"/>
    </row>
    <row r="290" spans="1:16">
      <c r="A290" s="83"/>
      <c r="B290" s="865"/>
      <c r="C290" s="865"/>
      <c r="D290" s="865"/>
      <c r="E290" s="865"/>
      <c r="F290" s="865"/>
      <c r="G290" s="84"/>
      <c r="H290" s="865"/>
      <c r="I290" s="865"/>
      <c r="J290" s="865"/>
      <c r="K290" s="865"/>
      <c r="L290" s="865"/>
      <c r="M290" s="865"/>
      <c r="N290" s="865"/>
      <c r="O290" s="865"/>
      <c r="P290" s="865"/>
    </row>
    <row r="291" spans="1:16">
      <c r="A291" s="83"/>
      <c r="B291" s="865"/>
      <c r="C291" s="865"/>
      <c r="D291" s="865"/>
      <c r="E291" s="865"/>
      <c r="F291" s="865"/>
      <c r="G291" s="84"/>
      <c r="H291" s="865"/>
      <c r="I291" s="865"/>
      <c r="J291" s="865"/>
      <c r="K291" s="865"/>
      <c r="L291" s="865"/>
      <c r="M291" s="865"/>
      <c r="N291" s="865"/>
      <c r="O291" s="865"/>
      <c r="P291" s="865"/>
    </row>
    <row r="292" spans="1:16">
      <c r="A292" s="83"/>
      <c r="B292" s="865"/>
      <c r="C292" s="865"/>
      <c r="D292" s="865"/>
      <c r="E292" s="865"/>
      <c r="F292" s="865"/>
      <c r="G292" s="84"/>
      <c r="H292" s="865"/>
      <c r="I292" s="865"/>
      <c r="J292" s="865"/>
      <c r="K292" s="865"/>
      <c r="L292" s="865"/>
      <c r="M292" s="865"/>
      <c r="N292" s="865"/>
      <c r="O292" s="865"/>
      <c r="P292" s="865"/>
    </row>
    <row r="293" spans="1:16">
      <c r="A293" s="83"/>
      <c r="B293" s="865"/>
      <c r="C293" s="865"/>
      <c r="D293" s="865"/>
      <c r="E293" s="865"/>
      <c r="F293" s="865"/>
      <c r="G293" s="84"/>
      <c r="H293" s="865"/>
      <c r="I293" s="865"/>
      <c r="J293" s="865"/>
      <c r="K293" s="865"/>
      <c r="L293" s="865"/>
      <c r="M293" s="865"/>
      <c r="N293" s="865"/>
      <c r="O293" s="865"/>
      <c r="P293" s="865"/>
    </row>
    <row r="294" spans="1:16">
      <c r="A294" s="83"/>
      <c r="B294" s="865"/>
      <c r="C294" s="865"/>
      <c r="D294" s="865"/>
      <c r="E294" s="865"/>
      <c r="F294" s="865"/>
      <c r="G294" s="84"/>
      <c r="H294" s="865"/>
      <c r="I294" s="865"/>
      <c r="J294" s="865"/>
      <c r="K294" s="865"/>
      <c r="L294" s="865"/>
      <c r="M294" s="865"/>
      <c r="N294" s="865"/>
      <c r="O294" s="865"/>
      <c r="P294" s="865"/>
    </row>
    <row r="295" spans="1:16">
      <c r="A295" s="83"/>
      <c r="B295" s="865"/>
      <c r="C295" s="865"/>
      <c r="D295" s="865"/>
      <c r="E295" s="865"/>
      <c r="F295" s="865"/>
      <c r="G295" s="84"/>
      <c r="H295" s="865"/>
      <c r="I295" s="865"/>
      <c r="J295" s="865"/>
      <c r="K295" s="865"/>
      <c r="L295" s="865"/>
      <c r="M295" s="865"/>
      <c r="N295" s="865"/>
      <c r="O295" s="865"/>
      <c r="P295" s="865"/>
    </row>
    <row r="296" spans="1:16">
      <c r="A296" s="83"/>
      <c r="B296" s="865"/>
      <c r="C296" s="865"/>
      <c r="D296" s="865"/>
      <c r="E296" s="865"/>
      <c r="F296" s="865"/>
      <c r="G296" s="84"/>
      <c r="H296" s="865"/>
      <c r="I296" s="865"/>
      <c r="J296" s="865"/>
      <c r="K296" s="865"/>
      <c r="L296" s="865"/>
      <c r="M296" s="865"/>
      <c r="N296" s="865"/>
      <c r="O296" s="865"/>
      <c r="P296" s="865"/>
    </row>
    <row r="297" spans="1:16">
      <c r="A297" s="83"/>
      <c r="B297" s="865"/>
      <c r="C297" s="865"/>
      <c r="D297" s="865"/>
      <c r="E297" s="865"/>
      <c r="F297" s="865"/>
      <c r="G297" s="84"/>
      <c r="H297" s="865"/>
      <c r="I297" s="865"/>
      <c r="J297" s="865"/>
      <c r="K297" s="865"/>
      <c r="L297" s="865"/>
      <c r="M297" s="865"/>
      <c r="N297" s="865"/>
      <c r="O297" s="865"/>
      <c r="P297" s="865"/>
    </row>
    <row r="298" spans="1:16">
      <c r="A298" s="83"/>
      <c r="B298" s="865"/>
      <c r="C298" s="1032" t="s">
        <v>209</v>
      </c>
      <c r="D298" s="1032"/>
      <c r="E298" s="1032"/>
      <c r="F298" s="865"/>
      <c r="G298" s="84"/>
      <c r="H298" s="865"/>
      <c r="I298" s="865"/>
      <c r="J298" s="865"/>
      <c r="K298" s="865"/>
      <c r="L298" s="865"/>
      <c r="M298" s="865"/>
      <c r="N298" s="865"/>
      <c r="O298" s="865"/>
      <c r="P298" s="865"/>
    </row>
    <row r="299" spans="1:16">
      <c r="A299" s="83"/>
      <c r="B299" s="865"/>
      <c r="C299" s="85" t="s">
        <v>199</v>
      </c>
      <c r="D299" s="85" t="s">
        <v>200</v>
      </c>
      <c r="E299" s="85" t="s">
        <v>201</v>
      </c>
      <c r="F299" s="865"/>
      <c r="G299" s="84"/>
      <c r="H299" s="865"/>
      <c r="I299" s="865"/>
      <c r="J299" s="865"/>
      <c r="K299" s="865"/>
      <c r="L299" s="865"/>
      <c r="M299" s="865"/>
      <c r="N299" s="865"/>
      <c r="O299" s="865"/>
      <c r="P299" s="865"/>
    </row>
    <row r="300" spans="1:16">
      <c r="A300" s="83"/>
      <c r="B300" s="865"/>
      <c r="C300" s="86">
        <v>10.26</v>
      </c>
      <c r="D300" s="86">
        <v>11.2</v>
      </c>
      <c r="E300" s="86">
        <v>9.93</v>
      </c>
      <c r="F300" s="865"/>
      <c r="G300" s="84"/>
      <c r="H300" s="865"/>
      <c r="I300" s="865"/>
      <c r="J300" s="865"/>
      <c r="K300" s="865"/>
      <c r="L300" s="865"/>
      <c r="M300" s="865"/>
      <c r="N300" s="865"/>
      <c r="O300" s="865"/>
      <c r="P300" s="865"/>
    </row>
    <row r="301" spans="1:16" ht="15">
      <c r="A301" s="83"/>
      <c r="B301" s="865"/>
      <c r="C301" s="1033">
        <f>(C300+D300+E300)/3</f>
        <v>10.463333333333333</v>
      </c>
      <c r="D301" s="1034"/>
      <c r="E301" s="1035"/>
      <c r="F301" s="865"/>
      <c r="G301" s="84"/>
      <c r="H301" s="865"/>
      <c r="I301" s="865"/>
      <c r="J301" s="865"/>
      <c r="K301" s="865"/>
      <c r="L301" s="865"/>
      <c r="M301" s="865"/>
      <c r="N301" s="865"/>
      <c r="O301" s="865"/>
      <c r="P301" s="865"/>
    </row>
    <row r="302" spans="1:16" ht="15" thickBot="1">
      <c r="A302" s="87"/>
      <c r="B302" s="88"/>
      <c r="C302" s="88"/>
      <c r="D302" s="88"/>
      <c r="E302" s="88"/>
      <c r="F302" s="88"/>
      <c r="G302" s="89"/>
      <c r="H302" s="865"/>
      <c r="I302" s="865"/>
      <c r="J302" s="865"/>
      <c r="K302" s="865"/>
      <c r="L302" s="865"/>
      <c r="M302" s="865"/>
      <c r="N302" s="865"/>
      <c r="O302" s="865"/>
      <c r="P302" s="865"/>
    </row>
    <row r="303" spans="1:16" ht="15" thickBot="1">
      <c r="A303" s="874"/>
      <c r="B303" s="875"/>
      <c r="C303" s="875"/>
      <c r="D303" s="875"/>
      <c r="E303" s="875"/>
      <c r="F303" s="875"/>
      <c r="G303" s="876"/>
      <c r="H303" s="865"/>
      <c r="I303" s="865"/>
      <c r="J303" s="865"/>
      <c r="K303" s="865"/>
      <c r="L303" s="865"/>
      <c r="M303" s="865"/>
      <c r="N303" s="865"/>
      <c r="O303" s="865"/>
      <c r="P303" s="865"/>
    </row>
    <row r="304" spans="1:16" ht="15" thickBot="1">
      <c r="A304" s="1036" t="s">
        <v>691</v>
      </c>
      <c r="B304" s="1037"/>
      <c r="C304" s="1037"/>
      <c r="D304" s="1037"/>
      <c r="E304" s="1037"/>
      <c r="F304" s="1037"/>
      <c r="G304" s="1038"/>
      <c r="H304" s="865"/>
      <c r="I304" s="865"/>
      <c r="J304" s="865"/>
      <c r="K304" s="865"/>
      <c r="L304" s="865"/>
      <c r="M304" s="865"/>
      <c r="N304" s="865"/>
      <c r="O304" s="865"/>
      <c r="P304" s="865"/>
    </row>
    <row r="305" spans="1:16">
      <c r="A305" s="80"/>
      <c r="B305" s="81"/>
      <c r="C305" s="81"/>
      <c r="D305" s="81"/>
      <c r="E305" s="81"/>
      <c r="F305" s="81"/>
      <c r="G305" s="82"/>
      <c r="H305" s="865"/>
      <c r="I305" s="865"/>
      <c r="J305" s="865"/>
      <c r="K305" s="865"/>
      <c r="L305" s="865"/>
      <c r="M305" s="865"/>
      <c r="N305" s="865"/>
      <c r="O305" s="865"/>
      <c r="P305" s="865"/>
    </row>
    <row r="306" spans="1:16">
      <c r="A306" s="83"/>
      <c r="B306" s="865"/>
      <c r="C306" s="865"/>
      <c r="D306" s="865"/>
      <c r="E306" s="865"/>
      <c r="F306" s="865"/>
      <c r="G306" s="84"/>
      <c r="H306" s="865"/>
      <c r="I306" s="865"/>
      <c r="J306" s="865"/>
      <c r="K306" s="865"/>
      <c r="L306" s="865"/>
      <c r="M306" s="865"/>
      <c r="N306" s="865"/>
      <c r="O306" s="865"/>
      <c r="P306" s="865"/>
    </row>
    <row r="307" spans="1:16">
      <c r="A307" s="83"/>
      <c r="B307" s="865"/>
      <c r="C307" s="865"/>
      <c r="D307" s="865"/>
      <c r="E307" s="865"/>
      <c r="F307" s="865"/>
      <c r="G307" s="84"/>
      <c r="H307" s="865"/>
      <c r="I307" s="865"/>
      <c r="J307" s="865"/>
      <c r="K307" s="865"/>
      <c r="L307" s="865"/>
      <c r="M307" s="865"/>
      <c r="N307" s="865"/>
      <c r="O307" s="865"/>
      <c r="P307" s="865"/>
    </row>
    <row r="308" spans="1:16">
      <c r="A308" s="83"/>
      <c r="B308" s="865"/>
      <c r="C308" s="865"/>
      <c r="D308" s="865"/>
      <c r="E308" s="865"/>
      <c r="F308" s="865"/>
      <c r="G308" s="84"/>
      <c r="H308" s="865"/>
      <c r="I308" s="865"/>
      <c r="J308" s="865"/>
      <c r="K308" s="865"/>
      <c r="L308" s="865"/>
      <c r="M308" s="865"/>
      <c r="N308" s="865"/>
      <c r="O308" s="865"/>
      <c r="P308" s="865"/>
    </row>
    <row r="309" spans="1:16">
      <c r="A309" s="83"/>
      <c r="B309" s="865"/>
      <c r="C309" s="865"/>
      <c r="D309" s="865"/>
      <c r="E309" s="865"/>
      <c r="F309" s="865"/>
      <c r="G309" s="84"/>
      <c r="H309" s="865"/>
      <c r="I309" s="865"/>
      <c r="J309" s="865"/>
      <c r="K309" s="865"/>
      <c r="L309" s="865"/>
      <c r="M309" s="865"/>
      <c r="N309" s="865"/>
      <c r="O309" s="865"/>
      <c r="P309" s="865"/>
    </row>
    <row r="310" spans="1:16">
      <c r="A310" s="83"/>
      <c r="B310" s="865"/>
      <c r="C310" s="865"/>
      <c r="D310" s="865"/>
      <c r="E310" s="865"/>
      <c r="F310" s="865"/>
      <c r="G310" s="84"/>
      <c r="H310" s="865"/>
      <c r="I310" s="865"/>
      <c r="J310" s="865"/>
      <c r="K310" s="865"/>
      <c r="L310" s="865"/>
      <c r="M310" s="865"/>
      <c r="N310" s="865"/>
      <c r="O310" s="865"/>
      <c r="P310" s="865"/>
    </row>
    <row r="311" spans="1:16">
      <c r="A311" s="83"/>
      <c r="B311" s="865"/>
      <c r="C311" s="865"/>
      <c r="D311" s="865"/>
      <c r="E311" s="865"/>
      <c r="F311" s="865"/>
      <c r="G311" s="84"/>
      <c r="H311" s="865"/>
      <c r="I311" s="865"/>
      <c r="J311" s="865"/>
      <c r="K311" s="865"/>
      <c r="L311" s="865"/>
      <c r="M311" s="865"/>
      <c r="N311" s="865"/>
      <c r="O311" s="865"/>
      <c r="P311" s="865"/>
    </row>
    <row r="312" spans="1:16">
      <c r="A312" s="83"/>
      <c r="B312" s="865"/>
      <c r="C312" s="865"/>
      <c r="D312" s="865"/>
      <c r="E312" s="865"/>
      <c r="F312" s="865"/>
      <c r="G312" s="84"/>
      <c r="H312" s="865"/>
      <c r="I312" s="865"/>
      <c r="J312" s="865"/>
      <c r="K312" s="865"/>
      <c r="L312" s="865"/>
      <c r="M312" s="865"/>
      <c r="N312" s="865"/>
      <c r="O312" s="865"/>
      <c r="P312" s="865"/>
    </row>
    <row r="313" spans="1:16">
      <c r="A313" s="83"/>
      <c r="B313" s="865"/>
      <c r="C313" s="865"/>
      <c r="D313" s="865"/>
      <c r="E313" s="865"/>
      <c r="F313" s="865"/>
      <c r="G313" s="84"/>
      <c r="H313" s="865"/>
      <c r="I313" s="865"/>
      <c r="J313" s="865"/>
      <c r="K313" s="865"/>
      <c r="L313" s="865"/>
      <c r="M313" s="865"/>
      <c r="N313" s="865"/>
      <c r="O313" s="865"/>
      <c r="P313" s="865"/>
    </row>
    <row r="314" spans="1:16">
      <c r="A314" s="83"/>
      <c r="B314" s="865"/>
      <c r="C314" s="865"/>
      <c r="D314" s="865"/>
      <c r="E314" s="865"/>
      <c r="F314" s="865"/>
      <c r="G314" s="84"/>
      <c r="H314" s="865"/>
      <c r="I314" s="865"/>
      <c r="J314" s="865"/>
      <c r="K314" s="865"/>
      <c r="L314" s="865"/>
      <c r="M314" s="865"/>
      <c r="N314" s="865"/>
      <c r="O314" s="865"/>
      <c r="P314" s="865"/>
    </row>
    <row r="315" spans="1:16">
      <c r="A315" s="83"/>
      <c r="B315" s="865"/>
      <c r="C315" s="865"/>
      <c r="D315" s="865"/>
      <c r="E315" s="865"/>
      <c r="F315" s="865"/>
      <c r="G315" s="84"/>
      <c r="H315" s="865"/>
      <c r="I315" s="865"/>
      <c r="J315" s="865"/>
      <c r="K315" s="865"/>
      <c r="L315" s="865"/>
      <c r="M315" s="865"/>
      <c r="N315" s="865"/>
      <c r="O315" s="865"/>
      <c r="P315" s="865"/>
    </row>
    <row r="316" spans="1:16">
      <c r="A316" s="83"/>
      <c r="B316" s="865"/>
      <c r="C316" s="865"/>
      <c r="D316" s="865"/>
      <c r="E316" s="865"/>
      <c r="F316" s="865"/>
      <c r="G316" s="84"/>
      <c r="H316" s="865"/>
      <c r="I316" s="865"/>
      <c r="J316" s="865"/>
      <c r="K316" s="865"/>
      <c r="L316" s="865"/>
      <c r="M316" s="865"/>
      <c r="N316" s="865"/>
      <c r="O316" s="865"/>
      <c r="P316" s="865"/>
    </row>
    <row r="317" spans="1:16">
      <c r="A317" s="83"/>
      <c r="B317" s="865"/>
      <c r="C317" s="865"/>
      <c r="D317" s="865"/>
      <c r="E317" s="865"/>
      <c r="F317" s="865"/>
      <c r="G317" s="84"/>
      <c r="H317" s="865"/>
      <c r="I317" s="865"/>
      <c r="J317" s="865"/>
      <c r="K317" s="865"/>
      <c r="L317" s="865"/>
      <c r="M317" s="865"/>
      <c r="N317" s="865"/>
      <c r="O317" s="865"/>
      <c r="P317" s="865"/>
    </row>
    <row r="318" spans="1:16">
      <c r="A318" s="83"/>
      <c r="B318" s="865"/>
      <c r="C318" s="865"/>
      <c r="D318" s="865"/>
      <c r="E318" s="865"/>
      <c r="F318" s="865"/>
      <c r="G318" s="84"/>
      <c r="H318" s="865"/>
      <c r="I318" s="865"/>
      <c r="J318" s="865"/>
      <c r="K318" s="865"/>
      <c r="L318" s="865"/>
      <c r="M318" s="865"/>
      <c r="N318" s="865"/>
      <c r="O318" s="865"/>
      <c r="P318" s="865"/>
    </row>
    <row r="319" spans="1:16">
      <c r="A319" s="83"/>
      <c r="B319" s="865"/>
      <c r="C319" s="865"/>
      <c r="D319" s="865"/>
      <c r="E319" s="865"/>
      <c r="F319" s="865"/>
      <c r="G319" s="84"/>
      <c r="H319" s="865"/>
      <c r="I319" s="865"/>
      <c r="J319" s="865"/>
      <c r="K319" s="865"/>
      <c r="L319" s="865"/>
      <c r="M319" s="865"/>
      <c r="N319" s="865"/>
      <c r="O319" s="865"/>
      <c r="P319" s="865"/>
    </row>
    <row r="320" spans="1:16">
      <c r="A320" s="83"/>
      <c r="B320" s="865"/>
      <c r="C320" s="865"/>
      <c r="D320" s="865"/>
      <c r="E320" s="865"/>
      <c r="F320" s="865"/>
      <c r="G320" s="84"/>
      <c r="N320" s="865"/>
      <c r="O320" s="865"/>
      <c r="P320" s="865"/>
    </row>
    <row r="321" spans="1:17">
      <c r="A321" s="83"/>
      <c r="B321" s="865"/>
      <c r="C321" s="865"/>
      <c r="D321" s="865"/>
      <c r="E321" s="865"/>
      <c r="F321" s="865"/>
      <c r="G321" s="84"/>
      <c r="N321" s="865"/>
      <c r="O321" s="865"/>
      <c r="P321" s="865"/>
    </row>
    <row r="322" spans="1:17">
      <c r="A322" s="83"/>
      <c r="B322" s="865"/>
      <c r="C322" s="865"/>
      <c r="D322" s="865"/>
      <c r="E322" s="865"/>
      <c r="F322" s="865"/>
      <c r="G322" s="84"/>
      <c r="N322" s="865"/>
      <c r="O322" s="865"/>
      <c r="P322" s="865"/>
    </row>
    <row r="323" spans="1:17">
      <c r="A323" s="83"/>
      <c r="B323" s="865"/>
      <c r="C323" s="865"/>
      <c r="D323" s="865"/>
      <c r="E323" s="865"/>
      <c r="F323" s="865"/>
      <c r="G323" s="84"/>
      <c r="N323" s="865"/>
      <c r="O323" s="865"/>
      <c r="P323" s="865"/>
    </row>
    <row r="324" spans="1:17">
      <c r="A324" s="83"/>
      <c r="B324" s="865"/>
      <c r="C324" s="865"/>
      <c r="D324" s="865"/>
      <c r="E324" s="865"/>
      <c r="F324" s="865"/>
      <c r="G324" s="84"/>
      <c r="N324" s="865"/>
      <c r="O324" s="865"/>
      <c r="P324" s="865"/>
    </row>
    <row r="325" spans="1:17">
      <c r="A325" s="83"/>
      <c r="B325" s="865"/>
      <c r="C325" s="865"/>
      <c r="D325" s="865"/>
      <c r="E325" s="865"/>
      <c r="F325" s="865"/>
      <c r="G325" s="84"/>
      <c r="N325" s="865"/>
      <c r="O325" s="865"/>
      <c r="P325" s="865"/>
    </row>
    <row r="326" spans="1:17">
      <c r="A326" s="83"/>
      <c r="B326" s="865"/>
      <c r="C326" s="865"/>
      <c r="D326" s="865"/>
      <c r="E326" s="865"/>
      <c r="F326" s="865"/>
      <c r="G326" s="84"/>
      <c r="N326" s="865"/>
      <c r="O326" s="865"/>
      <c r="P326" s="865"/>
    </row>
    <row r="327" spans="1:17">
      <c r="A327" s="83"/>
      <c r="B327" s="865"/>
      <c r="C327" s="865"/>
      <c r="D327" s="865"/>
      <c r="E327" s="865"/>
      <c r="F327" s="865"/>
      <c r="G327" s="84"/>
      <c r="N327" s="865"/>
      <c r="O327" s="865"/>
      <c r="P327" s="865"/>
    </row>
    <row r="328" spans="1:17">
      <c r="A328" s="83"/>
      <c r="B328" s="865"/>
      <c r="C328" s="865"/>
      <c r="D328" s="865"/>
      <c r="E328" s="865"/>
      <c r="F328" s="865"/>
      <c r="G328" s="84"/>
      <c r="N328" s="865"/>
      <c r="O328" s="865"/>
      <c r="P328" s="865"/>
    </row>
    <row r="329" spans="1:17">
      <c r="A329" s="83"/>
      <c r="B329" s="865"/>
      <c r="C329" s="865"/>
      <c r="D329" s="865"/>
      <c r="E329" s="865"/>
      <c r="F329" s="865"/>
      <c r="G329" s="84"/>
      <c r="H329" s="865"/>
      <c r="I329" s="865"/>
      <c r="J329" s="865"/>
      <c r="K329" s="865"/>
      <c r="L329" s="865"/>
      <c r="M329" s="865"/>
      <c r="N329" s="865"/>
      <c r="O329" s="865"/>
      <c r="P329" s="865"/>
    </row>
    <row r="330" spans="1:17">
      <c r="A330" s="83"/>
      <c r="B330" s="865"/>
      <c r="C330" s="865"/>
      <c r="D330" s="865"/>
      <c r="E330" s="865"/>
      <c r="F330" s="865"/>
      <c r="G330" s="84"/>
      <c r="H330" s="865"/>
      <c r="I330" s="865"/>
      <c r="J330" s="865"/>
      <c r="K330" s="865"/>
      <c r="L330" s="865"/>
      <c r="M330" s="865"/>
      <c r="N330" s="865"/>
      <c r="O330" s="865"/>
      <c r="P330" s="865"/>
      <c r="Q330" s="865"/>
    </row>
    <row r="331" spans="1:17">
      <c r="A331" s="83"/>
      <c r="B331" s="865"/>
      <c r="C331" s="865"/>
      <c r="D331" s="865"/>
      <c r="E331" s="865"/>
      <c r="F331" s="865"/>
      <c r="G331" s="84"/>
      <c r="H331" s="865"/>
      <c r="I331" s="865"/>
      <c r="J331" s="865"/>
      <c r="K331" s="865"/>
      <c r="L331" s="865"/>
      <c r="M331" s="865"/>
      <c r="N331" s="865"/>
      <c r="O331" s="865"/>
      <c r="P331" s="865"/>
      <c r="Q331" s="865"/>
    </row>
    <row r="332" spans="1:17">
      <c r="A332" s="83"/>
      <c r="B332" s="865"/>
      <c r="C332" s="865"/>
      <c r="D332" s="865"/>
      <c r="E332" s="865"/>
      <c r="F332" s="865"/>
      <c r="G332" s="84"/>
      <c r="H332" s="865"/>
      <c r="I332" s="865"/>
      <c r="J332" s="865"/>
      <c r="K332" s="865"/>
      <c r="L332" s="865"/>
      <c r="M332" s="865"/>
      <c r="N332" s="865"/>
      <c r="O332" s="865"/>
      <c r="P332" s="865"/>
      <c r="Q332" s="865"/>
    </row>
    <row r="333" spans="1:17">
      <c r="A333" s="83"/>
      <c r="B333" s="865"/>
      <c r="C333" s="865"/>
      <c r="D333" s="865"/>
      <c r="E333" s="865"/>
      <c r="F333" s="865"/>
      <c r="G333" s="84"/>
    </row>
    <row r="334" spans="1:17">
      <c r="A334" s="83"/>
      <c r="B334" s="865"/>
      <c r="C334" s="865"/>
      <c r="D334" s="865"/>
      <c r="E334" s="865"/>
      <c r="F334" s="865"/>
      <c r="G334" s="84"/>
    </row>
    <row r="335" spans="1:17">
      <c r="A335" s="83"/>
      <c r="B335" s="865"/>
      <c r="C335" s="865"/>
      <c r="D335" s="865"/>
      <c r="E335" s="865"/>
      <c r="F335" s="865"/>
      <c r="G335" s="84"/>
    </row>
    <row r="336" spans="1:17">
      <c r="A336" s="83"/>
      <c r="B336" s="865"/>
      <c r="C336" s="865"/>
      <c r="D336" s="865"/>
      <c r="E336" s="865"/>
      <c r="F336" s="865"/>
      <c r="G336" s="84"/>
    </row>
    <row r="337" spans="1:7">
      <c r="A337" s="83"/>
      <c r="B337" s="865"/>
      <c r="C337" s="865"/>
      <c r="D337" s="865"/>
      <c r="E337" s="865"/>
      <c r="F337" s="865"/>
      <c r="G337" s="84"/>
    </row>
    <row r="338" spans="1:7">
      <c r="A338" s="83"/>
      <c r="B338" s="865"/>
      <c r="C338" s="865"/>
      <c r="D338" s="865"/>
      <c r="E338" s="865"/>
      <c r="F338" s="865"/>
      <c r="G338" s="84"/>
    </row>
    <row r="339" spans="1:7">
      <c r="A339" s="83"/>
      <c r="B339" s="865"/>
      <c r="C339" s="865"/>
      <c r="D339" s="865"/>
      <c r="E339" s="865"/>
      <c r="F339" s="865"/>
      <c r="G339" s="84"/>
    </row>
    <row r="340" spans="1:7">
      <c r="A340" s="83"/>
      <c r="B340" s="865"/>
      <c r="C340" s="865"/>
      <c r="D340" s="865"/>
      <c r="E340" s="865"/>
      <c r="F340" s="865"/>
      <c r="G340" s="84"/>
    </row>
    <row r="341" spans="1:7">
      <c r="A341" s="83"/>
      <c r="B341" s="865"/>
      <c r="C341" s="865"/>
      <c r="D341" s="865"/>
      <c r="E341" s="865"/>
      <c r="F341" s="865"/>
      <c r="G341" s="84"/>
    </row>
    <row r="342" spans="1:7">
      <c r="A342" s="83"/>
      <c r="B342" s="865"/>
      <c r="C342" s="865"/>
      <c r="D342" s="865"/>
      <c r="E342" s="865"/>
      <c r="F342" s="865"/>
      <c r="G342" s="84"/>
    </row>
    <row r="343" spans="1:7">
      <c r="A343" s="83"/>
      <c r="B343" s="865"/>
      <c r="C343" s="865"/>
      <c r="D343" s="865"/>
      <c r="E343" s="865"/>
      <c r="F343" s="865"/>
      <c r="G343" s="84"/>
    </row>
    <row r="344" spans="1:7">
      <c r="A344" s="83"/>
      <c r="B344" s="865"/>
      <c r="C344" s="865"/>
      <c r="D344" s="865"/>
      <c r="E344" s="865"/>
      <c r="F344" s="865"/>
      <c r="G344" s="84"/>
    </row>
    <row r="345" spans="1:7">
      <c r="A345" s="83"/>
      <c r="B345" s="865"/>
      <c r="C345" s="1032" t="s">
        <v>210</v>
      </c>
      <c r="D345" s="1032"/>
      <c r="E345" s="1032"/>
      <c r="F345" s="865"/>
      <c r="G345" s="84"/>
    </row>
    <row r="346" spans="1:7">
      <c r="A346" s="83"/>
      <c r="B346" s="865"/>
      <c r="C346" s="85" t="s">
        <v>197</v>
      </c>
      <c r="D346" s="85" t="s">
        <v>202</v>
      </c>
      <c r="E346" s="85" t="s">
        <v>203</v>
      </c>
      <c r="F346" s="865"/>
      <c r="G346" s="84"/>
    </row>
    <row r="347" spans="1:7">
      <c r="A347" s="83"/>
      <c r="B347" s="865"/>
      <c r="C347" s="86">
        <v>14.85</v>
      </c>
      <c r="D347" s="86">
        <v>24.9</v>
      </c>
      <c r="E347" s="86">
        <v>30.61</v>
      </c>
      <c r="F347" s="865"/>
      <c r="G347" s="84"/>
    </row>
    <row r="348" spans="1:7" ht="15">
      <c r="A348" s="83"/>
      <c r="B348" s="865"/>
      <c r="C348" s="1033">
        <f>(C347+D347+E347)/3</f>
        <v>23.453333333333333</v>
      </c>
      <c r="D348" s="1034"/>
      <c r="E348" s="1035"/>
      <c r="F348" s="865"/>
      <c r="G348" s="84"/>
    </row>
    <row r="349" spans="1:7" ht="15" thickBot="1">
      <c r="A349" s="87"/>
      <c r="B349" s="88"/>
      <c r="C349" s="88"/>
      <c r="D349" s="88"/>
      <c r="E349" s="88"/>
      <c r="F349" s="88"/>
      <c r="G349" s="89"/>
    </row>
  </sheetData>
  <protectedRanges>
    <protectedRange sqref="G12:G13 F18:F23 E24:F24 E5:G9 E11:G11 F10" name="Intervalo5"/>
    <protectedRange sqref="G18:G24 E18:E23 E17:G17 G10 E10" name="Intervalo6"/>
    <protectedRange sqref="E14:F14" name="Intervalo5_1"/>
    <protectedRange sqref="E12:F13" name="Intervalo5_2"/>
    <protectedRange sqref="G25" name="Intervalo7_1"/>
    <protectedRange sqref="E27:F27 E26:G26" name="Intervalo5_3"/>
    <protectedRange sqref="C43:C44" name="Intervalo19_1_1"/>
    <protectedRange sqref="A43:A44" name="Intervalo5_2_1_1"/>
  </protectedRanges>
  <mergeCells count="47">
    <mergeCell ref="A29:G29"/>
    <mergeCell ref="A30:G30"/>
    <mergeCell ref="A80:G80"/>
    <mergeCell ref="A126:G126"/>
    <mergeCell ref="A170:G170"/>
    <mergeCell ref="C74:E74"/>
    <mergeCell ref="C77:E77"/>
    <mergeCell ref="C120:E120"/>
    <mergeCell ref="C123:E123"/>
    <mergeCell ref="C164:E164"/>
    <mergeCell ref="C298:E298"/>
    <mergeCell ref="C301:E301"/>
    <mergeCell ref="C345:E345"/>
    <mergeCell ref="C348:E348"/>
    <mergeCell ref="C167:E167"/>
    <mergeCell ref="C208:E208"/>
    <mergeCell ref="C211:E211"/>
    <mergeCell ref="C253:E253"/>
    <mergeCell ref="C256:E256"/>
    <mergeCell ref="A214:G214"/>
    <mergeCell ref="A259:G259"/>
    <mergeCell ref="A304:G304"/>
    <mergeCell ref="A21:D21"/>
    <mergeCell ref="A22:D22"/>
    <mergeCell ref="A19:D19"/>
    <mergeCell ref="A20:D20"/>
    <mergeCell ref="A16:G16"/>
    <mergeCell ref="A17:D17"/>
    <mergeCell ref="A18:D18"/>
    <mergeCell ref="A27:F27"/>
    <mergeCell ref="A25:F25"/>
    <mergeCell ref="A26:F26"/>
    <mergeCell ref="A23:D23"/>
    <mergeCell ref="A24:D24"/>
    <mergeCell ref="A9:D9"/>
    <mergeCell ref="A11:D11"/>
    <mergeCell ref="A6:D6"/>
    <mergeCell ref="A7:D7"/>
    <mergeCell ref="A14:F14"/>
    <mergeCell ref="A12:F12"/>
    <mergeCell ref="A13:F13"/>
    <mergeCell ref="A10:D10"/>
    <mergeCell ref="A5:D5"/>
    <mergeCell ref="A1:G1"/>
    <mergeCell ref="A3:G3"/>
    <mergeCell ref="A4:D4"/>
    <mergeCell ref="A8:D8"/>
  </mergeCells>
  <conditionalFormatting sqref="A1:XFD28 A330:XFD1048576 O41:XFD329 N78:N79 A81:N84 A85:C88 G85:N88 A31:XFD40 A29:A30 H29:XFD30 A89:N97 A102:N104 A98:B101 F98:N101 C74:E77 A162:K162 A163:J163 A164:B166 F164:J166 C164:C167 A188:N207 A187:J187 A212:N213 A208:B211 F208:N211 C211:E211 N187 A215:N245 A214 H214:N214 A251:N252 A250:J250 A257:N258 A253:B256 F253:N256 C256:E256 N250 A260:N283 A259 H259:N259">
    <cfRule type="expression" dxfId="50" priority="8">
      <formula>CELL("proteger",A1)=1</formula>
    </cfRule>
  </conditionalFormatting>
  <conditionalFormatting sqref="A42:J79 N80 A105:J108 N105:N108 A183:J186 N183:N186 A246:J249 N246:N249 A288:N303 A284:J287 N284:N287 A326:N329 A322:J325 N322:N325 A109:N125 A168:N169 A167:J167 N167 D164:E167 C209:E210 C254:E255 A41:N41 A80 H80:J80 A127:N161 A126 H126:N126 A171:N182 A170 H170:N170 A305:N321 A304 H304:N304">
    <cfRule type="expression" dxfId="49" priority="7">
      <formula>CELL("proteger",A41)=1</formula>
    </cfRule>
  </conditionalFormatting>
  <conditionalFormatting sqref="C120 C121:E122 C123">
    <cfRule type="expression" dxfId="48" priority="6">
      <formula>CELL("proteger",C120)=1</formula>
    </cfRule>
  </conditionalFormatting>
  <conditionalFormatting sqref="C345 C346:E347 C348">
    <cfRule type="expression" dxfId="47" priority="1">
      <formula>CELL("proteger",C345)=1</formula>
    </cfRule>
  </conditionalFormatting>
  <conditionalFormatting sqref="C164 C167">
    <cfRule type="expression" dxfId="46" priority="5">
      <formula>CELL("proteger",C164)=1</formula>
    </cfRule>
  </conditionalFormatting>
  <conditionalFormatting sqref="C208 C211">
    <cfRule type="expression" dxfId="45" priority="4">
      <formula>CELL("proteger",C208)=1</formula>
    </cfRule>
  </conditionalFormatting>
  <conditionalFormatting sqref="C253 C256">
    <cfRule type="expression" dxfId="44" priority="3">
      <formula>CELL("proteger",C253)=1</formula>
    </cfRule>
  </conditionalFormatting>
  <conditionalFormatting sqref="C298 C299:E300 C301">
    <cfRule type="expression" dxfId="43" priority="2">
      <formula>CELL("proteger",C298)=1</formula>
    </cfRule>
  </conditionalFormatting>
  <printOptions horizontalCentered="1"/>
  <pageMargins left="0.7" right="0.7" top="0.75" bottom="0.75" header="0.3" footer="0.3"/>
  <pageSetup paperSize="9" scale="93" fitToHeight="0" orientation="portrait" r:id="rId1"/>
  <headerFooter scaleWithDoc="0"/>
  <rowBreaks count="7" manualBreakCount="7">
    <brk id="28" max="6" man="1"/>
    <brk id="79" max="6" man="1"/>
    <brk id="124" max="6" man="1"/>
    <brk id="168" max="6" man="1"/>
    <brk id="212" max="6" man="1"/>
    <brk id="257" max="6" man="1"/>
    <brk id="302" max="6" man="1"/>
  </rowBreaks>
  <drawing r:id="rId2"/>
  <legacyDrawing r:id="rId3"/>
  <legacyDrawingHF r:id="rId4"/>
  <oleObjects>
    <mc:AlternateContent xmlns:mc="http://schemas.openxmlformats.org/markup-compatibility/2006">
      <mc:Choice Requires="x14">
        <oleObject progId="CorelDraw.Graphic.18" shapeId="2049" r:id="rId5">
          <objectPr defaultSize="0" autoPict="0" r:id="rId6">
            <anchor moveWithCells="1">
              <from>
                <xdr:col>0</xdr:col>
                <xdr:colOff>219075</xdr:colOff>
                <xdr:row>0</xdr:row>
                <xdr:rowOff>66675</xdr:rowOff>
              </from>
              <to>
                <xdr:col>1</xdr:col>
                <xdr:colOff>304800</xdr:colOff>
                <xdr:row>0</xdr:row>
                <xdr:rowOff>762000</xdr:rowOff>
              </to>
            </anchor>
          </objectPr>
        </oleObject>
      </mc:Choice>
      <mc:Fallback>
        <oleObject progId="CorelDraw.Graphic.18" shapeId="2049" r:id="rId5"/>
      </mc:Fallback>
    </mc:AlternateContent>
  </oleObjec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75D22F-3903-4B10-BAEF-548330F03801}">
  <sheetPr>
    <tabColor theme="7" tint="0.79998168889431442"/>
    <pageSetUpPr fitToPage="1"/>
  </sheetPr>
  <dimension ref="A1:L32"/>
  <sheetViews>
    <sheetView view="pageBreakPreview" zoomScale="85" zoomScaleNormal="100" zoomScaleSheetLayoutView="85" workbookViewId="0">
      <selection activeCell="N22" sqref="N22"/>
    </sheetView>
  </sheetViews>
  <sheetFormatPr defaultRowHeight="14.25"/>
  <cols>
    <col min="1" max="1" width="13.125" style="93" bestFit="1" customWidth="1"/>
    <col min="2" max="2" width="10.375" style="93" bestFit="1" customWidth="1"/>
    <col min="3" max="16384" width="9" style="93"/>
  </cols>
  <sheetData>
    <row r="1" spans="1:10">
      <c r="A1" s="1069" t="s">
        <v>646</v>
      </c>
      <c r="B1" s="1070"/>
      <c r="C1" s="1070"/>
      <c r="D1" s="1070"/>
      <c r="E1" s="1070"/>
      <c r="F1" s="1070"/>
      <c r="G1" s="1070"/>
      <c r="H1" s="1070"/>
      <c r="I1" s="1070"/>
      <c r="J1" s="1071"/>
    </row>
    <row r="2" spans="1:10">
      <c r="A2" s="1072"/>
      <c r="B2" s="1073"/>
      <c r="C2" s="1073"/>
      <c r="D2" s="1073"/>
      <c r="E2" s="1073"/>
      <c r="F2" s="1073"/>
      <c r="G2" s="1073"/>
      <c r="H2" s="1073"/>
      <c r="I2" s="1073"/>
      <c r="J2" s="1074"/>
    </row>
    <row r="3" spans="1:10">
      <c r="A3" s="1072"/>
      <c r="B3" s="1073"/>
      <c r="C3" s="1073"/>
      <c r="D3" s="1073"/>
      <c r="E3" s="1073"/>
      <c r="F3" s="1073"/>
      <c r="G3" s="1073"/>
      <c r="H3" s="1073"/>
      <c r="I3" s="1073"/>
      <c r="J3" s="1074"/>
    </row>
    <row r="4" spans="1:10">
      <c r="A4" s="1072"/>
      <c r="B4" s="1073"/>
      <c r="C4" s="1073"/>
      <c r="D4" s="1073"/>
      <c r="E4" s="1073"/>
      <c r="F4" s="1073"/>
      <c r="G4" s="1073"/>
      <c r="H4" s="1073"/>
      <c r="I4" s="1073"/>
      <c r="J4" s="1074"/>
    </row>
    <row r="5" spans="1:10">
      <c r="A5" s="1075"/>
      <c r="B5" s="1076"/>
      <c r="C5" s="1076"/>
      <c r="D5" s="1076"/>
      <c r="E5" s="1076"/>
      <c r="F5" s="1076"/>
      <c r="G5" s="1076"/>
      <c r="H5" s="1076"/>
      <c r="I5" s="1076"/>
      <c r="J5" s="1077"/>
    </row>
    <row r="6" spans="1:10" ht="15.75">
      <c r="A6" s="1084"/>
      <c r="B6" s="1085"/>
      <c r="C6" s="1085"/>
      <c r="D6" s="1085"/>
      <c r="E6" s="1085"/>
      <c r="F6" s="1085"/>
      <c r="G6" s="1085"/>
      <c r="H6" s="1085"/>
      <c r="I6" s="1085"/>
      <c r="J6" s="1086"/>
    </row>
    <row r="7" spans="1:10" ht="15">
      <c r="A7" s="515" t="s">
        <v>647</v>
      </c>
      <c r="B7" s="1078" t="s">
        <v>648</v>
      </c>
      <c r="C7" s="1078"/>
      <c r="D7" s="1078"/>
      <c r="E7" s="1078"/>
      <c r="F7" s="1078"/>
      <c r="G7" s="1078"/>
      <c r="H7" s="1078"/>
      <c r="I7" s="1078"/>
      <c r="J7" s="1079"/>
    </row>
    <row r="8" spans="1:10" ht="15">
      <c r="A8" s="516" t="s">
        <v>615</v>
      </c>
      <c r="B8" s="1080">
        <v>46125</v>
      </c>
      <c r="C8" s="1080"/>
      <c r="D8" s="1080"/>
      <c r="E8" s="1080"/>
      <c r="F8" s="1080"/>
      <c r="G8" s="1080"/>
      <c r="H8" s="1080"/>
      <c r="I8" s="1080"/>
      <c r="J8" s="1081"/>
    </row>
    <row r="9" spans="1:10" ht="15">
      <c r="A9" s="516" t="s">
        <v>616</v>
      </c>
      <c r="B9" s="1080" t="s">
        <v>649</v>
      </c>
      <c r="C9" s="1080"/>
      <c r="D9" s="1080"/>
      <c r="E9" s="1080"/>
      <c r="F9" s="1080"/>
      <c r="G9" s="1080"/>
      <c r="H9" s="1080"/>
      <c r="I9" s="1080"/>
      <c r="J9" s="1081"/>
    </row>
    <row r="10" spans="1:10" ht="15">
      <c r="A10" s="517" t="s">
        <v>617</v>
      </c>
      <c r="B10" s="1082">
        <v>0</v>
      </c>
      <c r="C10" s="1082"/>
      <c r="D10" s="1082"/>
      <c r="E10" s="1082"/>
      <c r="F10" s="1082"/>
      <c r="G10" s="1082"/>
      <c r="H10" s="1082"/>
      <c r="I10" s="1082"/>
      <c r="J10" s="1083"/>
    </row>
    <row r="11" spans="1:10" ht="30.75" customHeight="1">
      <c r="A11" s="518" t="s">
        <v>618</v>
      </c>
      <c r="B11" s="1060" t="s">
        <v>650</v>
      </c>
      <c r="C11" s="1061"/>
      <c r="D11" s="1061"/>
      <c r="E11" s="1061"/>
      <c r="F11" s="1061"/>
      <c r="G11" s="1061"/>
      <c r="H11" s="1061"/>
      <c r="I11" s="1061"/>
      <c r="J11" s="1062"/>
    </row>
    <row r="12" spans="1:10" ht="15">
      <c r="A12" s="1063" t="s">
        <v>619</v>
      </c>
      <c r="B12" s="1064"/>
      <c r="C12" s="1064"/>
      <c r="D12" s="1064"/>
      <c r="E12" s="1064"/>
      <c r="F12" s="1064"/>
      <c r="G12" s="1064"/>
      <c r="H12" s="1064"/>
      <c r="I12" s="1064"/>
      <c r="J12" s="519">
        <v>1</v>
      </c>
    </row>
    <row r="13" spans="1:10" ht="15">
      <c r="A13" s="1065" t="s">
        <v>620</v>
      </c>
      <c r="B13" s="1066"/>
      <c r="C13" s="1066"/>
      <c r="D13" s="1066"/>
      <c r="E13" s="1066"/>
      <c r="F13" s="1066"/>
      <c r="G13" s="1066"/>
      <c r="H13" s="1066"/>
      <c r="I13" s="1066"/>
      <c r="J13" s="520">
        <v>0.03</v>
      </c>
    </row>
    <row r="14" spans="1:10" ht="15">
      <c r="A14" s="1067" t="s">
        <v>621</v>
      </c>
      <c r="B14" s="1068"/>
      <c r="C14" s="1068"/>
      <c r="D14" s="1068"/>
      <c r="E14" s="607" t="s">
        <v>622</v>
      </c>
      <c r="F14" s="1068" t="s">
        <v>623</v>
      </c>
      <c r="G14" s="1068"/>
      <c r="H14" s="607" t="s">
        <v>91</v>
      </c>
      <c r="I14" s="607" t="s">
        <v>624</v>
      </c>
      <c r="J14" s="608" t="s">
        <v>92</v>
      </c>
    </row>
    <row r="15" spans="1:10" ht="15">
      <c r="A15" s="1054" t="s">
        <v>625</v>
      </c>
      <c r="B15" s="1055"/>
      <c r="C15" s="1055"/>
      <c r="D15" s="1055"/>
      <c r="E15" s="151" t="s">
        <v>626</v>
      </c>
      <c r="F15" s="1056">
        <v>4.9299999999999997E-2</v>
      </c>
      <c r="G15" s="1056"/>
      <c r="H15" s="521">
        <v>3.4299999999999997E-2</v>
      </c>
      <c r="I15" s="521">
        <v>4.9299999999999997E-2</v>
      </c>
      <c r="J15" s="522">
        <v>6.7100000000000007E-2</v>
      </c>
    </row>
    <row r="16" spans="1:10" ht="15">
      <c r="A16" s="1054" t="s">
        <v>627</v>
      </c>
      <c r="B16" s="1055"/>
      <c r="C16" s="1055"/>
      <c r="D16" s="1055"/>
      <c r="E16" s="151" t="s">
        <v>628</v>
      </c>
      <c r="F16" s="1056">
        <v>4.8999999999999998E-3</v>
      </c>
      <c r="G16" s="1056"/>
      <c r="H16" s="521">
        <v>2.8E-3</v>
      </c>
      <c r="I16" s="521">
        <v>4.8999999999999998E-3</v>
      </c>
      <c r="J16" s="522">
        <v>7.4999999999999997E-3</v>
      </c>
    </row>
    <row r="17" spans="1:12" ht="15">
      <c r="A17" s="1054" t="s">
        <v>629</v>
      </c>
      <c r="B17" s="1055"/>
      <c r="C17" s="1055"/>
      <c r="D17" s="1055"/>
      <c r="E17" s="151" t="s">
        <v>630</v>
      </c>
      <c r="F17" s="1056">
        <v>1.3899999999999999E-2</v>
      </c>
      <c r="G17" s="1056"/>
      <c r="H17" s="521">
        <v>0.01</v>
      </c>
      <c r="I17" s="521">
        <v>1.3899999999999999E-2</v>
      </c>
      <c r="J17" s="522">
        <v>1.7399999999999999E-2</v>
      </c>
    </row>
    <row r="18" spans="1:12" ht="15">
      <c r="A18" s="1054" t="s">
        <v>90</v>
      </c>
      <c r="B18" s="1055"/>
      <c r="C18" s="1055"/>
      <c r="D18" s="1055"/>
      <c r="E18" s="151" t="s">
        <v>631</v>
      </c>
      <c r="F18" s="1056">
        <v>9.9000000000000008E-3</v>
      </c>
      <c r="G18" s="1056"/>
      <c r="H18" s="521">
        <v>9.4000000000000004E-3</v>
      </c>
      <c r="I18" s="521">
        <v>9.9000000000000008E-3</v>
      </c>
      <c r="J18" s="522">
        <v>1.17E-2</v>
      </c>
    </row>
    <row r="19" spans="1:12" ht="15">
      <c r="A19" s="1054" t="s">
        <v>632</v>
      </c>
      <c r="B19" s="1055"/>
      <c r="C19" s="1055"/>
      <c r="D19" s="1055"/>
      <c r="E19" s="151" t="s">
        <v>633</v>
      </c>
      <c r="F19" s="1056">
        <v>8.0399999999999999E-2</v>
      </c>
      <c r="G19" s="1056"/>
      <c r="H19" s="521">
        <v>6.7400000000000002E-2</v>
      </c>
      <c r="I19" s="521">
        <v>8.0399999999999999E-2</v>
      </c>
      <c r="J19" s="522">
        <v>9.4E-2</v>
      </c>
    </row>
    <row r="20" spans="1:12" ht="15">
      <c r="A20" s="1054" t="s">
        <v>634</v>
      </c>
      <c r="B20" s="1055"/>
      <c r="C20" s="1055"/>
      <c r="D20" s="1055"/>
      <c r="E20" s="151" t="s">
        <v>635</v>
      </c>
      <c r="F20" s="1056">
        <f>I20</f>
        <v>3.6499999999999998E-2</v>
      </c>
      <c r="G20" s="1056"/>
      <c r="H20" s="521">
        <f>0.03+0.0065</f>
        <v>3.6499999999999998E-2</v>
      </c>
      <c r="I20" s="521">
        <f>0.03+0.0065</f>
        <v>3.6499999999999998E-2</v>
      </c>
      <c r="J20" s="522">
        <f>0.03+0.0065</f>
        <v>3.6499999999999998E-2</v>
      </c>
    </row>
    <row r="21" spans="1:12" ht="15">
      <c r="A21" s="1054" t="s">
        <v>636</v>
      </c>
      <c r="B21" s="1055"/>
      <c r="C21" s="1055"/>
      <c r="D21" s="1055"/>
      <c r="E21" s="151" t="s">
        <v>637</v>
      </c>
      <c r="F21" s="1056">
        <f>I21</f>
        <v>0.03</v>
      </c>
      <c r="G21" s="1056"/>
      <c r="H21" s="521">
        <v>0.03</v>
      </c>
      <c r="I21" s="521">
        <v>0.03</v>
      </c>
      <c r="J21" s="522">
        <v>0.03</v>
      </c>
    </row>
    <row r="22" spans="1:12" ht="15">
      <c r="A22" s="1054" t="s">
        <v>638</v>
      </c>
      <c r="B22" s="1055"/>
      <c r="C22" s="1055"/>
      <c r="D22" s="1055"/>
      <c r="E22" s="151" t="s">
        <v>639</v>
      </c>
      <c r="F22" s="1056">
        <f>I22</f>
        <v>0</v>
      </c>
      <c r="G22" s="1056"/>
      <c r="H22" s="521">
        <v>0</v>
      </c>
      <c r="I22" s="521">
        <v>0</v>
      </c>
      <c r="J22" s="522">
        <v>0</v>
      </c>
    </row>
    <row r="23" spans="1:12" ht="15">
      <c r="A23" s="1057" t="s">
        <v>640</v>
      </c>
      <c r="B23" s="1058"/>
      <c r="C23" s="1058"/>
      <c r="D23" s="1058"/>
      <c r="E23" s="1058"/>
      <c r="F23" s="1059">
        <f>(((1+F15+F16+F17)*(1+F18)*(1+F19)/(1-F20-F21-F22))-1)</f>
        <v>0.24841949102945882</v>
      </c>
      <c r="G23" s="1059"/>
      <c r="H23" s="609">
        <f>(((1+H15+H16+H17)*(1+H18)*(1+H19)/(1-H20-H21-H22))-1)</f>
        <v>0.20854920265238341</v>
      </c>
      <c r="I23" s="609">
        <f>(((1+I15+I16+I17)*(1+I18)*(1+I19)/(1-I20-I21-I22))-1)</f>
        <v>0.24841949102945882</v>
      </c>
      <c r="J23" s="610">
        <f>(((1+J15+J16+J17)*(1+J18)*(1+J19)/(1-J20-J21-J22))-1)</f>
        <v>0.29472456518478873</v>
      </c>
      <c r="L23" s="62"/>
    </row>
    <row r="24" spans="1:12" ht="15">
      <c r="A24" s="1051"/>
      <c r="B24" s="1052"/>
      <c r="C24" s="1052"/>
      <c r="D24" s="1052"/>
      <c r="E24" s="1052"/>
      <c r="F24" s="1052"/>
      <c r="G24" s="1052"/>
      <c r="H24" s="1052"/>
      <c r="I24" s="1052"/>
      <c r="J24" s="1053"/>
    </row>
    <row r="25" spans="1:12" ht="14.25" customHeight="1">
      <c r="A25" s="1045" t="s">
        <v>641</v>
      </c>
      <c r="B25" s="1046"/>
      <c r="C25" s="1046"/>
      <c r="D25" s="1046"/>
      <c r="E25" s="1046"/>
      <c r="F25" s="1046"/>
      <c r="G25" s="1046"/>
      <c r="H25" s="1046"/>
      <c r="I25" s="1046"/>
      <c r="J25" s="1047"/>
    </row>
    <row r="26" spans="1:12" ht="14.25" customHeight="1">
      <c r="A26" s="1045"/>
      <c r="B26" s="1046"/>
      <c r="C26" s="1046"/>
      <c r="D26" s="1046"/>
      <c r="E26" s="1046"/>
      <c r="F26" s="1046"/>
      <c r="G26" s="1046"/>
      <c r="H26" s="1046"/>
      <c r="I26" s="1046"/>
      <c r="J26" s="1047"/>
    </row>
    <row r="27" spans="1:12" ht="15">
      <c r="A27" s="523"/>
      <c r="B27" s="524"/>
      <c r="C27" s="524"/>
      <c r="D27" s="524"/>
      <c r="E27" s="524"/>
      <c r="F27" s="524"/>
      <c r="G27" s="524"/>
      <c r="H27" s="524"/>
      <c r="I27" s="524"/>
      <c r="J27" s="525"/>
    </row>
    <row r="28" spans="1:12" ht="14.25" customHeight="1">
      <c r="A28" s="526" t="s">
        <v>642</v>
      </c>
      <c r="B28" s="527" t="s">
        <v>643</v>
      </c>
      <c r="C28" s="1048" t="s">
        <v>644</v>
      </c>
      <c r="D28" s="1048"/>
      <c r="E28" s="1048"/>
      <c r="F28" s="1049">
        <v>-1</v>
      </c>
      <c r="G28" s="528"/>
      <c r="H28" s="528"/>
      <c r="I28" s="528"/>
      <c r="J28" s="529"/>
    </row>
    <row r="29" spans="1:12" ht="15">
      <c r="A29" s="530"/>
      <c r="B29" s="531"/>
      <c r="C29" s="1050" t="s">
        <v>645</v>
      </c>
      <c r="D29" s="1050"/>
      <c r="E29" s="1050"/>
      <c r="F29" s="1049"/>
      <c r="G29" s="531"/>
      <c r="H29" s="531"/>
      <c r="I29" s="531"/>
      <c r="J29" s="532"/>
    </row>
    <row r="30" spans="1:12" ht="15">
      <c r="A30" s="530"/>
      <c r="B30" s="531"/>
      <c r="C30" s="531"/>
      <c r="D30" s="531"/>
      <c r="E30" s="531"/>
      <c r="F30" s="531"/>
      <c r="G30" s="531"/>
      <c r="H30" s="531"/>
      <c r="I30" s="531"/>
      <c r="J30" s="532"/>
    </row>
    <row r="31" spans="1:12" ht="31.5" customHeight="1">
      <c r="A31" s="1042" t="s">
        <v>653</v>
      </c>
      <c r="B31" s="1043"/>
      <c r="C31" s="1043"/>
      <c r="D31" s="1043"/>
      <c r="E31" s="1043"/>
      <c r="F31" s="1043"/>
      <c r="G31" s="1043"/>
      <c r="H31" s="1043"/>
      <c r="I31" s="1043"/>
      <c r="J31" s="1044"/>
    </row>
    <row r="32" spans="1:12" ht="15">
      <c r="A32" s="533"/>
      <c r="B32" s="534"/>
      <c r="C32" s="534"/>
      <c r="D32" s="534"/>
      <c r="E32" s="534"/>
      <c r="F32" s="534"/>
      <c r="G32" s="534"/>
      <c r="H32" s="534"/>
      <c r="I32" s="534"/>
      <c r="J32" s="535"/>
    </row>
  </sheetData>
  <mergeCells count="35">
    <mergeCell ref="A1:J5"/>
    <mergeCell ref="B7:J7"/>
    <mergeCell ref="B8:J8"/>
    <mergeCell ref="B9:J9"/>
    <mergeCell ref="B10:J10"/>
    <mergeCell ref="A6:J6"/>
    <mergeCell ref="B11:J11"/>
    <mergeCell ref="A12:I12"/>
    <mergeCell ref="A13:I13"/>
    <mergeCell ref="A14:D14"/>
    <mergeCell ref="F14:G14"/>
    <mergeCell ref="A15:D15"/>
    <mergeCell ref="F15:G15"/>
    <mergeCell ref="A16:D16"/>
    <mergeCell ref="F16:G16"/>
    <mergeCell ref="A17:D17"/>
    <mergeCell ref="F17:G17"/>
    <mergeCell ref="A18:D18"/>
    <mergeCell ref="F18:G18"/>
    <mergeCell ref="A19:D19"/>
    <mergeCell ref="F19:G19"/>
    <mergeCell ref="A20:D20"/>
    <mergeCell ref="F20:G20"/>
    <mergeCell ref="A24:J24"/>
    <mergeCell ref="A21:D21"/>
    <mergeCell ref="F21:G21"/>
    <mergeCell ref="A22:D22"/>
    <mergeCell ref="F22:G22"/>
    <mergeCell ref="A23:E23"/>
    <mergeCell ref="F23:G23"/>
    <mergeCell ref="A31:J31"/>
    <mergeCell ref="A25:J26"/>
    <mergeCell ref="C28:E28"/>
    <mergeCell ref="F28:F29"/>
    <mergeCell ref="C29:E29"/>
  </mergeCells>
  <pageMargins left="0.7" right="0.7" top="0.75" bottom="0.75" header="0.3" footer="0.3"/>
  <pageSetup paperSize="9" scale="84" fitToHeight="0" orientation="portrait" r:id="rId1"/>
  <drawing r:id="rId2"/>
  <legacyDrawing r:id="rId3"/>
  <oleObjects>
    <mc:AlternateContent xmlns:mc="http://schemas.openxmlformats.org/markup-compatibility/2006">
      <mc:Choice Requires="x14">
        <oleObject progId="CorelDraw.Graphic.18" shapeId="18433" r:id="rId4">
          <objectPr defaultSize="0" autoPict="0" r:id="rId5">
            <anchor moveWithCells="1">
              <from>
                <xdr:col>0</xdr:col>
                <xdr:colOff>438150</xdr:colOff>
                <xdr:row>0</xdr:row>
                <xdr:rowOff>114300</xdr:rowOff>
              </from>
              <to>
                <xdr:col>1</xdr:col>
                <xdr:colOff>285750</xdr:colOff>
                <xdr:row>4</xdr:row>
                <xdr:rowOff>19050</xdr:rowOff>
              </to>
            </anchor>
          </objectPr>
        </oleObject>
      </mc:Choice>
      <mc:Fallback>
        <oleObject progId="CorelDraw.Graphic.18" shapeId="18433" r:id="rId4"/>
      </mc:Fallback>
    </mc:AlternateContent>
  </oleObject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5E73E0-1A95-4014-B289-3FC5404E1ACD}">
  <sheetPr>
    <tabColor theme="1" tint="0.249977111117893"/>
    <pageSetUpPr fitToPage="1"/>
  </sheetPr>
  <dimension ref="A1:Q203"/>
  <sheetViews>
    <sheetView view="pageBreakPreview" topLeftCell="A7" zoomScale="115" zoomScaleNormal="100" zoomScaleSheetLayoutView="115" workbookViewId="0">
      <selection activeCell="F20" sqref="F20:K20"/>
    </sheetView>
  </sheetViews>
  <sheetFormatPr defaultColWidth="9.125" defaultRowHeight="14.25"/>
  <cols>
    <col min="1" max="1" width="6" style="18" customWidth="1"/>
    <col min="2" max="2" width="8.75" style="21" customWidth="1"/>
    <col min="3" max="3" width="27.25" style="21" customWidth="1"/>
    <col min="4" max="4" width="10.75" style="18" bestFit="1" customWidth="1"/>
    <col min="5" max="5" width="12.625" style="18" bestFit="1" customWidth="1"/>
    <col min="6" max="6" width="11.625" style="18" bestFit="1" customWidth="1"/>
    <col min="7" max="7" width="12" style="18" bestFit="1" customWidth="1"/>
    <col min="8" max="8" width="13.5" style="18" bestFit="1" customWidth="1"/>
    <col min="9" max="9" width="13" style="19" bestFit="1" customWidth="1"/>
    <col min="10" max="10" width="9" style="19" bestFit="1" customWidth="1"/>
    <col min="11" max="11" width="11.625" style="1" bestFit="1" customWidth="1"/>
    <col min="12" max="12" width="31.75" style="1" bestFit="1" customWidth="1"/>
    <col min="13" max="15" width="9.125" style="1"/>
    <col min="16" max="16" width="14" style="1" bestFit="1" customWidth="1"/>
    <col min="17" max="16384" width="9.125" style="1"/>
  </cols>
  <sheetData>
    <row r="1" spans="1:17" ht="66.75" customHeight="1" thickBot="1">
      <c r="A1" s="1120" t="s">
        <v>128</v>
      </c>
      <c r="B1" s="1121"/>
      <c r="C1" s="1121"/>
      <c r="D1" s="1121"/>
      <c r="E1" s="1121"/>
      <c r="F1" s="1121"/>
      <c r="G1" s="1121"/>
      <c r="H1" s="1121"/>
      <c r="I1" s="1121"/>
      <c r="J1" s="1121"/>
      <c r="K1" s="1122"/>
      <c r="L1" s="149"/>
      <c r="M1" s="151"/>
      <c r="N1" s="151"/>
      <c r="O1" s="151"/>
      <c r="P1" s="20"/>
      <c r="Q1" s="20"/>
    </row>
    <row r="2" spans="1:17" ht="7.9" customHeight="1" thickBot="1">
      <c r="A2" s="1087"/>
      <c r="B2" s="1088"/>
      <c r="C2" s="1088"/>
      <c r="D2" s="1088"/>
      <c r="E2" s="1088"/>
      <c r="F2" s="1088"/>
      <c r="G2" s="1088"/>
      <c r="H2" s="1088"/>
      <c r="I2" s="1088"/>
      <c r="J2" s="1088"/>
      <c r="K2" s="1089"/>
      <c r="L2" s="149"/>
      <c r="M2" s="149"/>
      <c r="N2" s="149"/>
      <c r="O2" s="149"/>
    </row>
    <row r="3" spans="1:17" ht="21.6" customHeight="1" thickBot="1">
      <c r="A3" s="1134" t="s">
        <v>554</v>
      </c>
      <c r="B3" s="1135"/>
      <c r="C3" s="1135"/>
      <c r="D3" s="1135"/>
      <c r="E3" s="1135"/>
      <c r="F3" s="1135"/>
      <c r="G3" s="1135"/>
      <c r="H3" s="1135"/>
      <c r="I3" s="1135"/>
      <c r="J3" s="1135"/>
      <c r="K3" s="1136"/>
      <c r="L3" s="149"/>
      <c r="M3" s="149"/>
      <c r="N3" s="149"/>
      <c r="O3" s="149"/>
    </row>
    <row r="4" spans="1:17" ht="15.75" thickBot="1">
      <c r="A4" s="1127" t="s">
        <v>96</v>
      </c>
      <c r="B4" s="1128"/>
      <c r="C4" s="332">
        <f>ROUND(365/12/7,4)</f>
        <v>4.3452000000000002</v>
      </c>
      <c r="D4" s="985"/>
      <c r="E4" s="985"/>
      <c r="F4" s="985"/>
      <c r="G4" s="985"/>
      <c r="H4" s="985"/>
      <c r="I4" s="985"/>
      <c r="J4" s="985"/>
      <c r="K4" s="986"/>
      <c r="L4" s="149"/>
      <c r="M4" s="149"/>
      <c r="N4" s="149"/>
      <c r="O4" s="149"/>
    </row>
    <row r="5" spans="1:17" ht="75.75" thickBot="1">
      <c r="A5" s="362" t="s">
        <v>97</v>
      </c>
      <c r="B5" s="363" t="s">
        <v>98</v>
      </c>
      <c r="C5" s="363" t="s">
        <v>132</v>
      </c>
      <c r="D5" s="364" t="s">
        <v>545</v>
      </c>
      <c r="E5" s="364" t="s">
        <v>546</v>
      </c>
      <c r="F5" s="364" t="s">
        <v>548</v>
      </c>
      <c r="G5" s="364" t="s">
        <v>549</v>
      </c>
      <c r="H5" s="364" t="s">
        <v>550</v>
      </c>
      <c r="I5" s="364" t="s">
        <v>551</v>
      </c>
      <c r="J5" s="365" t="s">
        <v>552</v>
      </c>
      <c r="K5" s="366" t="s">
        <v>553</v>
      </c>
      <c r="L5" s="149"/>
      <c r="M5" s="149"/>
      <c r="N5" s="149"/>
      <c r="O5" s="149"/>
    </row>
    <row r="6" spans="1:17" s="76" customFormat="1" ht="15">
      <c r="A6" s="357">
        <v>1</v>
      </c>
      <c r="B6" s="358" t="s">
        <v>492</v>
      </c>
      <c r="C6" s="359" t="s">
        <v>494</v>
      </c>
      <c r="D6" s="360" t="s">
        <v>100</v>
      </c>
      <c r="E6" s="358">
        <f>TRUNC(((D19/(SUM(F6:F9)))*F6),2)</f>
        <v>1.61</v>
      </c>
      <c r="F6" s="358">
        <f>J43</f>
        <v>17.809999999999999</v>
      </c>
      <c r="G6" s="360">
        <v>6</v>
      </c>
      <c r="H6" s="360">
        <v>0</v>
      </c>
      <c r="I6" s="358">
        <v>3.7</v>
      </c>
      <c r="J6" s="360">
        <v>1</v>
      </c>
      <c r="K6" s="361">
        <f>(((2*H6)+F6+(I6*2*J6))*G6)*semanas_mês</f>
        <v>657.254952</v>
      </c>
      <c r="L6" s="178"/>
      <c r="M6" s="179"/>
      <c r="N6" s="179"/>
      <c r="O6" s="179"/>
    </row>
    <row r="7" spans="1:17" s="76" customFormat="1" ht="30">
      <c r="A7" s="335">
        <v>2</v>
      </c>
      <c r="B7" s="181" t="s">
        <v>487</v>
      </c>
      <c r="C7" s="182" t="s">
        <v>495</v>
      </c>
      <c r="D7" s="180" t="s">
        <v>100</v>
      </c>
      <c r="E7" s="181">
        <f>TRUNC(((D19/(SUM(F6:F9)))*F7),2)</f>
        <v>1.59</v>
      </c>
      <c r="F7" s="181">
        <f>J45</f>
        <v>17.690000000000001</v>
      </c>
      <c r="G7" s="180">
        <v>6</v>
      </c>
      <c r="H7" s="180">
        <v>1.4</v>
      </c>
      <c r="I7" s="181">
        <v>2.2000000000000002</v>
      </c>
      <c r="J7" s="180">
        <v>1</v>
      </c>
      <c r="K7" s="336">
        <f>(((2*H7)+F7+(I7*2*J7))*G7)*semanas_mês</f>
        <v>648.91216800000007</v>
      </c>
      <c r="L7" s="178"/>
      <c r="M7" s="179"/>
      <c r="N7" s="179"/>
      <c r="O7" s="179"/>
    </row>
    <row r="8" spans="1:17" ht="30">
      <c r="A8" s="333">
        <v>3</v>
      </c>
      <c r="B8" s="183" t="s">
        <v>488</v>
      </c>
      <c r="C8" s="184" t="s">
        <v>496</v>
      </c>
      <c r="D8" s="176" t="s">
        <v>100</v>
      </c>
      <c r="E8" s="176">
        <f>TRUNC(((D19/(SUM(F6:F9)))*F8),2)</f>
        <v>2.35</v>
      </c>
      <c r="F8" s="177">
        <f>J51</f>
        <v>26</v>
      </c>
      <c r="G8" s="176">
        <v>6</v>
      </c>
      <c r="H8" s="176">
        <v>1.3</v>
      </c>
      <c r="I8" s="177">
        <v>4.7</v>
      </c>
      <c r="J8" s="176">
        <v>1</v>
      </c>
      <c r="K8" s="334">
        <f>(((2*H8)+F8+(I8*2*J8))*G8)*semanas_mês</f>
        <v>990.7056</v>
      </c>
      <c r="L8" s="178"/>
      <c r="M8" s="179"/>
      <c r="N8" s="151"/>
      <c r="O8" s="149"/>
    </row>
    <row r="9" spans="1:17" ht="45">
      <c r="A9" s="335">
        <v>4</v>
      </c>
      <c r="B9" s="181" t="s">
        <v>493</v>
      </c>
      <c r="C9" s="182" t="s">
        <v>497</v>
      </c>
      <c r="D9" s="180" t="s">
        <v>100</v>
      </c>
      <c r="E9" s="180">
        <f>TRUNC(((D19/(SUM(F6:F9)))*F9),2)</f>
        <v>2.0699999999999998</v>
      </c>
      <c r="F9" s="185">
        <f>J56</f>
        <v>23</v>
      </c>
      <c r="G9" s="180">
        <v>6</v>
      </c>
      <c r="H9" s="180">
        <v>1.9</v>
      </c>
      <c r="I9" s="181">
        <v>2.7</v>
      </c>
      <c r="J9" s="180">
        <v>1</v>
      </c>
      <c r="K9" s="336">
        <f>(((2*H9)+F9+(I9*2*J9))*G9)*semanas_mês</f>
        <v>839.49264000000005</v>
      </c>
      <c r="L9" s="178"/>
      <c r="M9" s="179"/>
      <c r="N9" s="151"/>
      <c r="O9" s="149"/>
    </row>
    <row r="10" spans="1:17" ht="18">
      <c r="A10" s="1137" t="s">
        <v>101</v>
      </c>
      <c r="B10" s="1138"/>
      <c r="C10" s="1138"/>
      <c r="D10" s="1138"/>
      <c r="E10" s="1138"/>
      <c r="F10" s="1138"/>
      <c r="G10" s="1138"/>
      <c r="H10" s="1138"/>
      <c r="I10" s="1138"/>
      <c r="J10" s="1138"/>
      <c r="K10" s="275">
        <f>TRUNC(SUM(K6:K9),2)</f>
        <v>3136.36</v>
      </c>
      <c r="L10" s="149"/>
      <c r="M10" s="149"/>
      <c r="N10" s="149"/>
      <c r="O10" s="149"/>
      <c r="P10" s="3"/>
    </row>
    <row r="11" spans="1:17" ht="18.75" thickBot="1">
      <c r="A11" s="1132" t="s">
        <v>133</v>
      </c>
      <c r="B11" s="1133"/>
      <c r="C11" s="1133"/>
      <c r="D11" s="1133"/>
      <c r="E11" s="1133"/>
      <c r="F11" s="1133"/>
      <c r="G11" s="1133"/>
      <c r="H11" s="1133"/>
      <c r="I11" s="1133"/>
      <c r="J11" s="1133"/>
      <c r="K11" s="367">
        <f>TRUNC(K10/dias_mes,2)</f>
        <v>124.21</v>
      </c>
      <c r="L11" s="149"/>
      <c r="M11" s="149"/>
      <c r="N11" s="149"/>
      <c r="O11" s="149"/>
      <c r="P11" s="3"/>
    </row>
    <row r="12" spans="1:17" ht="15.75" thickBot="1">
      <c r="A12" s="1129"/>
      <c r="B12" s="1130"/>
      <c r="C12" s="1130"/>
      <c r="D12" s="1130"/>
      <c r="E12" s="1130"/>
      <c r="F12" s="1130"/>
      <c r="G12" s="1130"/>
      <c r="H12" s="1130"/>
      <c r="I12" s="1130"/>
      <c r="J12" s="1130"/>
      <c r="K12" s="1131"/>
      <c r="L12" s="149"/>
      <c r="M12" s="149"/>
      <c r="N12" s="151"/>
      <c r="O12" s="149"/>
    </row>
    <row r="13" spans="1:17" ht="21" customHeight="1" thickBot="1">
      <c r="A13" s="1157" t="s">
        <v>490</v>
      </c>
      <c r="B13" s="1158"/>
      <c r="C13" s="1158"/>
      <c r="D13" s="1158"/>
      <c r="E13" s="1158"/>
      <c r="F13" s="1158"/>
      <c r="G13" s="1158"/>
      <c r="H13" s="1158"/>
      <c r="I13" s="1158"/>
      <c r="J13" s="1158"/>
      <c r="K13" s="1159"/>
      <c r="L13" s="188"/>
      <c r="M13" s="151"/>
      <c r="N13" s="151"/>
      <c r="O13" s="151"/>
      <c r="P13" s="20"/>
      <c r="Q13" s="20"/>
    </row>
    <row r="14" spans="1:17" ht="42" customHeight="1" thickBot="1">
      <c r="A14" s="1166" t="s">
        <v>416</v>
      </c>
      <c r="B14" s="1167"/>
      <c r="C14" s="1167"/>
      <c r="D14" s="597" t="s">
        <v>417</v>
      </c>
      <c r="E14" s="597" t="s">
        <v>10</v>
      </c>
      <c r="F14" s="1167" t="s">
        <v>418</v>
      </c>
      <c r="G14" s="1167"/>
      <c r="H14" s="1167"/>
      <c r="I14" s="1167"/>
      <c r="J14" s="1167"/>
      <c r="K14" s="1168"/>
      <c r="L14" s="188"/>
      <c r="M14" s="151"/>
      <c r="N14" s="151"/>
      <c r="O14" s="151"/>
      <c r="P14" s="20"/>
      <c r="Q14" s="20"/>
    </row>
    <row r="15" spans="1:17" ht="26.25" customHeight="1">
      <c r="A15" s="1123" t="s">
        <v>211</v>
      </c>
      <c r="B15" s="1124"/>
      <c r="C15" s="1124"/>
      <c r="D15" s="316">
        <v>19192</v>
      </c>
      <c r="E15" s="204" t="s">
        <v>1</v>
      </c>
      <c r="F15" s="1160" t="s">
        <v>419</v>
      </c>
      <c r="G15" s="1161"/>
      <c r="H15" s="1161"/>
      <c r="I15" s="1161"/>
      <c r="J15" s="1161"/>
      <c r="K15" s="1162"/>
      <c r="L15" s="188"/>
      <c r="M15" s="151"/>
      <c r="N15" s="151"/>
      <c r="O15" s="151"/>
      <c r="P15" s="20"/>
      <c r="Q15" s="20"/>
    </row>
    <row r="16" spans="1:17" ht="15">
      <c r="A16" s="1125" t="s">
        <v>440</v>
      </c>
      <c r="B16" s="1126"/>
      <c r="C16" s="1126"/>
      <c r="D16" s="317">
        <v>15281</v>
      </c>
      <c r="E16" s="269" t="s">
        <v>1</v>
      </c>
      <c r="F16" s="1139" t="s">
        <v>16</v>
      </c>
      <c r="G16" s="1140"/>
      <c r="H16" s="1140"/>
      <c r="I16" s="1140"/>
      <c r="J16" s="1140"/>
      <c r="K16" s="1141"/>
      <c r="L16" s="188"/>
      <c r="M16" s="151"/>
      <c r="N16" s="151"/>
      <c r="O16" s="151"/>
      <c r="P16" s="20"/>
      <c r="Q16" s="20"/>
    </row>
    <row r="17" spans="1:17" ht="24.75" customHeight="1">
      <c r="A17" s="1125" t="s">
        <v>441</v>
      </c>
      <c r="B17" s="1126"/>
      <c r="C17" s="1126"/>
      <c r="D17" s="203">
        <v>0.5</v>
      </c>
      <c r="E17" s="269" t="s">
        <v>533</v>
      </c>
      <c r="F17" s="1163" t="s">
        <v>535</v>
      </c>
      <c r="G17" s="1164"/>
      <c r="H17" s="1164"/>
      <c r="I17" s="1164"/>
      <c r="J17" s="1164"/>
      <c r="K17" s="1165"/>
      <c r="L17" s="188"/>
      <c r="M17" s="151"/>
      <c r="N17" s="151"/>
      <c r="O17" s="151"/>
      <c r="P17" s="20"/>
      <c r="Q17" s="20"/>
    </row>
    <row r="18" spans="1:17" ht="15">
      <c r="A18" s="1125" t="s">
        <v>2</v>
      </c>
      <c r="B18" s="1126"/>
      <c r="C18" s="1126"/>
      <c r="D18" s="203">
        <f>D16*D17</f>
        <v>7640.5</v>
      </c>
      <c r="E18" s="269" t="s">
        <v>3</v>
      </c>
      <c r="F18" s="1139" t="s">
        <v>438</v>
      </c>
      <c r="G18" s="1140"/>
      <c r="H18" s="1140"/>
      <c r="I18" s="1140"/>
      <c r="J18" s="1140"/>
      <c r="K18" s="1141"/>
      <c r="L18" s="147"/>
      <c r="M18" s="150"/>
      <c r="N18" s="147"/>
      <c r="O18" s="151"/>
      <c r="P18" s="20"/>
      <c r="Q18" s="20"/>
    </row>
    <row r="19" spans="1:17" ht="15">
      <c r="A19" s="1125" t="s">
        <v>449</v>
      </c>
      <c r="B19" s="1126"/>
      <c r="C19" s="1126"/>
      <c r="D19" s="203">
        <f>TRUNC(D18/1000,2)</f>
        <v>7.64</v>
      </c>
      <c r="E19" s="269" t="s">
        <v>212</v>
      </c>
      <c r="F19" s="1139" t="s">
        <v>437</v>
      </c>
      <c r="G19" s="1140"/>
      <c r="H19" s="1140"/>
      <c r="I19" s="1140"/>
      <c r="J19" s="1140"/>
      <c r="K19" s="1141"/>
      <c r="L19" s="188"/>
      <c r="M19" s="151"/>
      <c r="N19" s="151"/>
      <c r="O19" s="151"/>
      <c r="P19" s="20"/>
      <c r="Q19" s="20"/>
    </row>
    <row r="20" spans="1:17" ht="15">
      <c r="A20" s="1125" t="s">
        <v>4</v>
      </c>
      <c r="B20" s="1126"/>
      <c r="C20" s="1126"/>
      <c r="D20" s="203">
        <f>TRUNC(D17*D16*30.42/1000,2)</f>
        <v>232.42</v>
      </c>
      <c r="E20" s="269" t="s">
        <v>5</v>
      </c>
      <c r="F20" s="1139" t="s">
        <v>439</v>
      </c>
      <c r="G20" s="1140"/>
      <c r="H20" s="1140"/>
      <c r="I20" s="1140"/>
      <c r="J20" s="1140"/>
      <c r="K20" s="1141"/>
      <c r="L20" s="188"/>
      <c r="M20" s="151"/>
      <c r="N20" s="151"/>
      <c r="O20" s="151"/>
      <c r="P20" s="20"/>
      <c r="Q20" s="20"/>
    </row>
    <row r="21" spans="1:17" ht="15">
      <c r="A21" s="1125" t="s">
        <v>6</v>
      </c>
      <c r="B21" s="1126"/>
      <c r="C21" s="1126"/>
      <c r="D21" s="203">
        <f>K11</f>
        <v>124.21</v>
      </c>
      <c r="E21" s="277" t="s">
        <v>7</v>
      </c>
      <c r="F21" s="1142" t="s">
        <v>443</v>
      </c>
      <c r="G21" s="1143"/>
      <c r="H21" s="1143"/>
      <c r="I21" s="1143"/>
      <c r="J21" s="1143"/>
      <c r="K21" s="1144"/>
      <c r="L21" s="188"/>
      <c r="M21" s="151"/>
      <c r="N21" s="151"/>
      <c r="O21" s="151"/>
      <c r="P21" s="20"/>
      <c r="Q21" s="20"/>
    </row>
    <row r="22" spans="1:17" ht="15">
      <c r="A22" s="1125" t="s">
        <v>510</v>
      </c>
      <c r="B22" s="1126"/>
      <c r="C22" s="1126"/>
      <c r="D22" s="318">
        <v>3.6</v>
      </c>
      <c r="E22" s="278" t="s">
        <v>8</v>
      </c>
      <c r="F22" s="1145" t="s">
        <v>445</v>
      </c>
      <c r="G22" s="1146"/>
      <c r="H22" s="1146"/>
      <c r="I22" s="1146"/>
      <c r="J22" s="1146"/>
      <c r="K22" s="1147"/>
      <c r="L22" s="188"/>
      <c r="M22" s="151"/>
      <c r="N22" s="151"/>
      <c r="O22" s="151"/>
      <c r="P22" s="20"/>
      <c r="Q22" s="20"/>
    </row>
    <row r="23" spans="1:17" ht="15">
      <c r="A23" s="1125" t="s">
        <v>511</v>
      </c>
      <c r="B23" s="1126"/>
      <c r="C23" s="1126"/>
      <c r="D23" s="318">
        <f>D22*2</f>
        <v>7.2</v>
      </c>
      <c r="E23" s="278" t="s">
        <v>442</v>
      </c>
      <c r="F23" s="1145" t="s">
        <v>446</v>
      </c>
      <c r="G23" s="1146"/>
      <c r="H23" s="1146"/>
      <c r="I23" s="1146"/>
      <c r="J23" s="1146"/>
      <c r="K23" s="1147"/>
      <c r="L23" s="149"/>
      <c r="M23" s="151"/>
      <c r="N23" s="151"/>
      <c r="O23" s="151"/>
      <c r="P23" s="20"/>
      <c r="Q23" s="20"/>
    </row>
    <row r="24" spans="1:17" ht="15">
      <c r="A24" s="1125" t="s">
        <v>444</v>
      </c>
      <c r="B24" s="1126"/>
      <c r="C24" s="1126"/>
      <c r="D24" s="319">
        <f>K10</f>
        <v>3136.36</v>
      </c>
      <c r="E24" s="277" t="s">
        <v>9</v>
      </c>
      <c r="F24" s="1142" t="s">
        <v>443</v>
      </c>
      <c r="G24" s="1143"/>
      <c r="H24" s="1143"/>
      <c r="I24" s="1143"/>
      <c r="J24" s="1143"/>
      <c r="K24" s="1144"/>
      <c r="L24" s="188"/>
      <c r="M24" s="151"/>
      <c r="N24" s="151"/>
      <c r="O24" s="151"/>
      <c r="P24" s="20"/>
      <c r="Q24" s="20"/>
    </row>
    <row r="25" spans="1:17" ht="15">
      <c r="A25" s="1125" t="s">
        <v>431</v>
      </c>
      <c r="B25" s="1126"/>
      <c r="C25" s="1126"/>
      <c r="D25" s="319">
        <v>14</v>
      </c>
      <c r="E25" s="277" t="s">
        <v>11</v>
      </c>
      <c r="F25" s="1154" t="s">
        <v>16</v>
      </c>
      <c r="G25" s="1155"/>
      <c r="H25" s="1155"/>
      <c r="I25" s="1155"/>
      <c r="J25" s="1155"/>
      <c r="K25" s="1156"/>
      <c r="L25" s="188"/>
      <c r="M25" s="151"/>
      <c r="N25" s="151"/>
      <c r="O25" s="151"/>
      <c r="P25" s="20"/>
      <c r="Q25" s="20"/>
    </row>
    <row r="26" spans="1:17" ht="27" customHeight="1">
      <c r="A26" s="1125" t="s">
        <v>432</v>
      </c>
      <c r="B26" s="1126"/>
      <c r="C26" s="1126"/>
      <c r="D26" s="203">
        <v>0.23</v>
      </c>
      <c r="E26" s="277" t="s">
        <v>12</v>
      </c>
      <c r="F26" s="1154" t="s">
        <v>436</v>
      </c>
      <c r="G26" s="1155"/>
      <c r="H26" s="1155"/>
      <c r="I26" s="1155"/>
      <c r="J26" s="1155"/>
      <c r="K26" s="1156"/>
      <c r="L26" s="188"/>
      <c r="M26" s="151"/>
      <c r="N26" s="151"/>
      <c r="O26" s="151"/>
      <c r="P26" s="20"/>
      <c r="Q26" s="20"/>
    </row>
    <row r="27" spans="1:17" ht="15">
      <c r="A27" s="1125" t="s">
        <v>447</v>
      </c>
      <c r="B27" s="1126"/>
      <c r="C27" s="1126"/>
      <c r="D27" s="320">
        <v>0.73</v>
      </c>
      <c r="E27" s="277" t="s">
        <v>330</v>
      </c>
      <c r="F27" s="1142" t="s">
        <v>540</v>
      </c>
      <c r="G27" s="1143"/>
      <c r="H27" s="1143"/>
      <c r="I27" s="1143"/>
      <c r="J27" s="1143"/>
      <c r="K27" s="1144"/>
      <c r="L27" s="188"/>
      <c r="M27" s="151"/>
      <c r="N27" s="151"/>
      <c r="O27" s="151"/>
      <c r="P27" s="20"/>
      <c r="Q27" s="20"/>
    </row>
    <row r="28" spans="1:17" ht="15">
      <c r="A28" s="1125" t="s">
        <v>433</v>
      </c>
      <c r="B28" s="1126"/>
      <c r="C28" s="1126"/>
      <c r="D28" s="270">
        <v>1</v>
      </c>
      <c r="E28" s="277" t="s">
        <v>16</v>
      </c>
      <c r="F28" s="1154" t="s">
        <v>512</v>
      </c>
      <c r="G28" s="1143"/>
      <c r="H28" s="1143"/>
      <c r="I28" s="1143"/>
      <c r="J28" s="1143"/>
      <c r="K28" s="1144"/>
      <c r="L28" s="188"/>
      <c r="M28" s="151"/>
      <c r="N28" s="151"/>
      <c r="O28" s="151"/>
      <c r="P28" s="20"/>
      <c r="Q28" s="20"/>
    </row>
    <row r="29" spans="1:17" ht="15">
      <c r="A29" s="1125" t="s">
        <v>450</v>
      </c>
      <c r="B29" s="1126"/>
      <c r="C29" s="1126"/>
      <c r="D29" s="203">
        <f>D25*D26*D27*D28</f>
        <v>2.3506</v>
      </c>
      <c r="E29" s="277" t="s">
        <v>13</v>
      </c>
      <c r="F29" s="1142" t="s">
        <v>448</v>
      </c>
      <c r="G29" s="1143"/>
      <c r="H29" s="1143"/>
      <c r="I29" s="1143"/>
      <c r="J29" s="1143"/>
      <c r="K29" s="1144"/>
      <c r="L29" s="188"/>
      <c r="M29" s="151"/>
      <c r="N29" s="151"/>
      <c r="O29" s="151"/>
      <c r="P29" s="20"/>
      <c r="Q29" s="20"/>
    </row>
    <row r="30" spans="1:17" ht="15">
      <c r="A30" s="1125" t="s">
        <v>451</v>
      </c>
      <c r="B30" s="1126"/>
      <c r="C30" s="1126"/>
      <c r="D30" s="203">
        <f>D19/D29</f>
        <v>3.2502339828128988</v>
      </c>
      <c r="E30" s="277" t="s">
        <v>10</v>
      </c>
      <c r="F30" s="1142" t="s">
        <v>504</v>
      </c>
      <c r="G30" s="1143"/>
      <c r="H30" s="1143"/>
      <c r="I30" s="1143"/>
      <c r="J30" s="1143"/>
      <c r="K30" s="1144"/>
      <c r="L30" s="188"/>
      <c r="M30" s="151"/>
      <c r="N30" s="151"/>
      <c r="O30" s="151"/>
      <c r="P30" s="20"/>
      <c r="Q30" s="20"/>
    </row>
    <row r="31" spans="1:17" ht="15">
      <c r="A31" s="1125" t="s">
        <v>452</v>
      </c>
      <c r="B31" s="1126"/>
      <c r="C31" s="1126"/>
      <c r="D31" s="321">
        <f>((D19/(D29*D30))*(7/G6))</f>
        <v>1.1666666666666667</v>
      </c>
      <c r="E31" s="277" t="s">
        <v>10</v>
      </c>
      <c r="F31" s="1142" t="s">
        <v>505</v>
      </c>
      <c r="G31" s="1143"/>
      <c r="H31" s="1143"/>
      <c r="I31" s="1143"/>
      <c r="J31" s="1143"/>
      <c r="K31" s="1144"/>
      <c r="L31" s="188"/>
      <c r="M31" s="151"/>
      <c r="N31" s="151"/>
      <c r="O31" s="151"/>
      <c r="P31" s="20"/>
      <c r="Q31" s="20"/>
    </row>
    <row r="32" spans="1:17" ht="15">
      <c r="A32" s="1125" t="s">
        <v>14</v>
      </c>
      <c r="B32" s="1126"/>
      <c r="C32" s="1126"/>
      <c r="D32" s="318">
        <f>(D24/D35)</f>
        <v>1568.18</v>
      </c>
      <c r="E32" s="278" t="s">
        <v>9</v>
      </c>
      <c r="F32" s="1145" t="s">
        <v>453</v>
      </c>
      <c r="G32" s="1146"/>
      <c r="H32" s="1146"/>
      <c r="I32" s="1146"/>
      <c r="J32" s="1146"/>
      <c r="K32" s="1147"/>
      <c r="L32" s="149"/>
      <c r="M32" s="151"/>
      <c r="N32" s="151"/>
      <c r="O32" s="151"/>
      <c r="P32" s="20"/>
      <c r="Q32" s="20"/>
    </row>
    <row r="33" spans="1:15" ht="15" customHeight="1">
      <c r="A33" s="1148"/>
      <c r="B33" s="1149"/>
      <c r="C33" s="1149"/>
      <c r="D33" s="1149"/>
      <c r="E33" s="1149"/>
      <c r="F33" s="1149"/>
      <c r="G33" s="1149"/>
      <c r="H33" s="1149"/>
      <c r="I33" s="1149"/>
      <c r="J33" s="1149"/>
      <c r="K33" s="1150"/>
      <c r="L33" s="149"/>
      <c r="M33" s="149"/>
      <c r="N33" s="149"/>
      <c r="O33" s="149"/>
    </row>
    <row r="34" spans="1:15" ht="15" customHeight="1">
      <c r="A34" s="1151" t="s">
        <v>563</v>
      </c>
      <c r="B34" s="1152"/>
      <c r="C34" s="1152"/>
      <c r="D34" s="1152"/>
      <c r="E34" s="1152"/>
      <c r="F34" s="1152"/>
      <c r="G34" s="1152"/>
      <c r="H34" s="1152"/>
      <c r="I34" s="1152"/>
      <c r="J34" s="1152"/>
      <c r="K34" s="1153"/>
      <c r="L34" s="149"/>
      <c r="M34" s="149"/>
      <c r="N34" s="149"/>
      <c r="O34" s="149"/>
    </row>
    <row r="35" spans="1:15" ht="15" customHeight="1">
      <c r="A35" s="1125" t="s">
        <v>412</v>
      </c>
      <c r="B35" s="1126"/>
      <c r="C35" s="1126"/>
      <c r="D35" s="205">
        <f>ROUNDUP(D31,0)</f>
        <v>2</v>
      </c>
      <c r="E35" s="277" t="s">
        <v>10</v>
      </c>
      <c r="F35" s="1145" t="s">
        <v>719</v>
      </c>
      <c r="G35" s="1146"/>
      <c r="H35" s="1146"/>
      <c r="I35" s="1146"/>
      <c r="J35" s="1146"/>
      <c r="K35" s="1147"/>
      <c r="L35" s="149"/>
      <c r="M35" s="149"/>
      <c r="N35" s="149"/>
      <c r="O35" s="149"/>
    </row>
    <row r="36" spans="1:15" ht="15" customHeight="1">
      <c r="A36" s="1125" t="s">
        <v>413</v>
      </c>
      <c r="B36" s="1126"/>
      <c r="C36" s="1126"/>
      <c r="D36" s="205">
        <f>ROUNDUP(0.1*D31,0)</f>
        <v>1</v>
      </c>
      <c r="E36" s="277" t="s">
        <v>10</v>
      </c>
      <c r="F36" s="1145" t="s">
        <v>514</v>
      </c>
      <c r="G36" s="1146"/>
      <c r="H36" s="1146"/>
      <c r="I36" s="1146"/>
      <c r="J36" s="1146"/>
      <c r="K36" s="1147"/>
      <c r="L36" s="149"/>
      <c r="M36" s="149"/>
      <c r="N36" s="149"/>
      <c r="O36" s="149"/>
    </row>
    <row r="37" spans="1:15" ht="15" customHeight="1">
      <c r="A37" s="1125" t="s">
        <v>414</v>
      </c>
      <c r="B37" s="1126"/>
      <c r="C37" s="1126"/>
      <c r="D37" s="205">
        <f>ROUND(3*D35,0)</f>
        <v>6</v>
      </c>
      <c r="E37" s="277" t="s">
        <v>10</v>
      </c>
      <c r="F37" s="1145" t="s">
        <v>499</v>
      </c>
      <c r="G37" s="1146"/>
      <c r="H37" s="1146"/>
      <c r="I37" s="1146"/>
      <c r="J37" s="1146"/>
      <c r="K37" s="1147"/>
      <c r="L37" s="149"/>
      <c r="M37" s="149"/>
      <c r="N37" s="149"/>
      <c r="O37" s="149"/>
    </row>
    <row r="38" spans="1:15" ht="15" customHeight="1">
      <c r="A38" s="1125" t="s">
        <v>500</v>
      </c>
      <c r="B38" s="1126"/>
      <c r="C38" s="1126"/>
      <c r="D38" s="205">
        <f>D35</f>
        <v>2</v>
      </c>
      <c r="E38" s="277" t="s">
        <v>10</v>
      </c>
      <c r="F38" s="1145" t="s">
        <v>502</v>
      </c>
      <c r="G38" s="1146"/>
      <c r="H38" s="1146"/>
      <c r="I38" s="1146"/>
      <c r="J38" s="1146"/>
      <c r="K38" s="1147"/>
      <c r="L38" s="149"/>
      <c r="M38" s="149"/>
      <c r="N38" s="149"/>
      <c r="O38" s="149"/>
    </row>
    <row r="39" spans="1:15" ht="15" customHeight="1">
      <c r="A39" s="1125" t="s">
        <v>415</v>
      </c>
      <c r="B39" s="1126"/>
      <c r="C39" s="1126"/>
      <c r="D39" s="205">
        <f>D35</f>
        <v>2</v>
      </c>
      <c r="E39" s="277" t="s">
        <v>10</v>
      </c>
      <c r="F39" s="1145" t="s">
        <v>498</v>
      </c>
      <c r="G39" s="1146"/>
      <c r="H39" s="1146"/>
      <c r="I39" s="1146"/>
      <c r="J39" s="1146"/>
      <c r="K39" s="1147"/>
      <c r="L39" s="149"/>
      <c r="M39" s="149"/>
      <c r="N39" s="149"/>
      <c r="O39" s="149"/>
    </row>
    <row r="40" spans="1:15" ht="13.5" thickBot="1">
      <c r="A40" s="1172" t="s">
        <v>501</v>
      </c>
      <c r="B40" s="1173"/>
      <c r="C40" s="1173"/>
      <c r="D40" s="337">
        <f>ROUNDUP(0.1*D35,0)</f>
        <v>1</v>
      </c>
      <c r="E40" s="338" t="s">
        <v>10</v>
      </c>
      <c r="F40" s="1169" t="s">
        <v>503</v>
      </c>
      <c r="G40" s="1170"/>
      <c r="H40" s="1170"/>
      <c r="I40" s="1170"/>
      <c r="J40" s="1170"/>
      <c r="K40" s="1171"/>
      <c r="L40" s="149"/>
      <c r="M40" s="149"/>
      <c r="N40" s="149"/>
      <c r="O40" s="149"/>
    </row>
    <row r="41" spans="1:15" ht="15.75" thickBot="1">
      <c r="A41" s="314"/>
      <c r="B41" s="314"/>
      <c r="C41" s="314"/>
      <c r="D41" s="189"/>
      <c r="E41" s="189"/>
      <c r="F41" s="151"/>
      <c r="G41" s="151"/>
      <c r="H41" s="151"/>
      <c r="I41" s="186"/>
      <c r="J41" s="186"/>
      <c r="K41" s="188"/>
      <c r="L41" s="149"/>
      <c r="M41" s="149"/>
      <c r="N41" s="149"/>
      <c r="O41" s="149"/>
    </row>
    <row r="42" spans="1:15" ht="15.75" thickBot="1">
      <c r="A42" s="310" t="s">
        <v>189</v>
      </c>
      <c r="B42" s="325" t="s">
        <v>98</v>
      </c>
      <c r="C42" s="325" t="s">
        <v>111</v>
      </c>
      <c r="D42" s="1093" t="s">
        <v>515</v>
      </c>
      <c r="E42" s="1094"/>
      <c r="F42" s="1094"/>
      <c r="G42" s="1095"/>
      <c r="H42" s="311" t="s">
        <v>186</v>
      </c>
      <c r="I42" s="190" t="s">
        <v>187</v>
      </c>
      <c r="J42" s="191" t="s">
        <v>188</v>
      </c>
      <c r="K42" s="188"/>
      <c r="L42" s="149"/>
      <c r="M42" s="149"/>
      <c r="N42" s="149"/>
      <c r="O42" s="149"/>
    </row>
    <row r="43" spans="1:15" ht="15">
      <c r="A43" s="1117">
        <v>1</v>
      </c>
      <c r="B43" s="1113" t="s">
        <v>486</v>
      </c>
      <c r="C43" s="326" t="s">
        <v>95</v>
      </c>
      <c r="D43" s="198">
        <f>130.8979+156.8047+181.9688+118.7074+62.6278+128.1886+96.2402+286.7861+185.1693+475.2377+299.2156+214.9548+77.3281+107.2956+741.4547+64.5103+101.4194+69.9667+112.6485+172.0542+216.0644+75.8843+103.9129+169.4695+96.46+160.603+135.5735+75.545+172.5407+585.8802+168.7008+575.6241+172.3401+576.1409+269.5134+74.3587+108.8058+163.9889+69.8671+73.1899+78.6175+310.2336+263.0132+81.0536+95.3593+166.8063+197.5196+136.5955+184.0408+61.1186+71.943+81.0981+88.9014+46.597+29.6431+91.9414+328.8876+63.3276+62.0552+156.5086+161.8437+58.2944+150.1663+166.751+125.043+67.8613+65.1902+45.6736+7.3893+7.6576+8.8547+8.7611+8.5278+101.3365+224.7243+187.8754+134.5114+170.2488+126.3818</f>
        <v>12250.292799999999</v>
      </c>
      <c r="E43" s="198"/>
      <c r="F43" s="198"/>
      <c r="G43" s="198"/>
      <c r="H43" s="312">
        <f t="shared" ref="H43:H48" si="0">D43</f>
        <v>12250.292799999999</v>
      </c>
      <c r="I43" s="309">
        <f t="shared" ref="I43:I59" si="1">TRUNC(H43/1000,2)</f>
        <v>12.25</v>
      </c>
      <c r="J43" s="1112">
        <f>I43+I44</f>
        <v>17.809999999999999</v>
      </c>
      <c r="K43" s="188"/>
      <c r="L43" s="149"/>
      <c r="M43" s="149"/>
      <c r="N43" s="149"/>
      <c r="O43" s="149"/>
    </row>
    <row r="44" spans="1:15" ht="15.75" thickBot="1">
      <c r="A44" s="1118"/>
      <c r="B44" s="1119"/>
      <c r="C44" s="327" t="s">
        <v>184</v>
      </c>
      <c r="D44" s="223">
        <f>44.8162+79.279+273.6544+49.0195+183.4442+221.6214+336.108+502.4735+358.2498+336.2019+253.9935+164.3858+64.7015+175.2974+111.085+120.6678+113.5131+84.319+103.4114+307.4261+142.513+214.814+144.2262+70.0818+223.1377+71.3678+145.7954+270.398+180.351+101.0881+75.3395+40.5423</f>
        <v>5563.3233000000009</v>
      </c>
      <c r="E44" s="223"/>
      <c r="F44" s="223"/>
      <c r="G44" s="223"/>
      <c r="H44" s="313">
        <f t="shared" si="0"/>
        <v>5563.3233000000009</v>
      </c>
      <c r="I44" s="309">
        <f>TRUNC(H44/1000,2)</f>
        <v>5.56</v>
      </c>
      <c r="J44" s="1111"/>
      <c r="K44" s="188"/>
      <c r="L44" s="149"/>
      <c r="M44" s="149"/>
      <c r="N44" s="149"/>
      <c r="O44" s="149"/>
    </row>
    <row r="45" spans="1:15" ht="15">
      <c r="A45" s="1096">
        <v>2</v>
      </c>
      <c r="B45" s="1099" t="s">
        <v>487</v>
      </c>
      <c r="C45" s="198" t="s">
        <v>177</v>
      </c>
      <c r="D45" s="198">
        <f>203.26+185.209+478.4004+157.6233+145.6237+43.5687+52.6469+538.9646+83.4893+31.6482+518.4454+95.9966+102.1418+199.9533+454.002+100.6022+72.7595+172.6523+176.1913+244.278+101.7425+103.2283</f>
        <v>4262.4272999999994</v>
      </c>
      <c r="E45" s="198"/>
      <c r="F45" s="198"/>
      <c r="G45" s="198"/>
      <c r="H45" s="194">
        <f t="shared" si="0"/>
        <v>4262.4272999999994</v>
      </c>
      <c r="I45" s="195">
        <f t="shared" si="1"/>
        <v>4.26</v>
      </c>
      <c r="J45" s="1102">
        <f>SUM(I45:I50)</f>
        <v>17.690000000000001</v>
      </c>
      <c r="K45" s="188"/>
      <c r="L45" s="149"/>
      <c r="M45" s="149"/>
      <c r="N45" s="149"/>
      <c r="O45" s="149"/>
    </row>
    <row r="46" spans="1:15" ht="15">
      <c r="A46" s="1097"/>
      <c r="B46" s="1100"/>
      <c r="C46" s="211" t="s">
        <v>178</v>
      </c>
      <c r="D46" s="211">
        <f>305.3052+133.5547+103.3466+213.6896+133.9567+132.8229+130.5267+413.4235+405.3739+56.6773+12.2804+11.447+251.2907+218.586+241.6401+127.142+119.7505+9.9138+244.7989+352.5707+165.9281+527.867+16.7318+118.7711+147.5209</f>
        <v>4594.9161000000004</v>
      </c>
      <c r="E46" s="211"/>
      <c r="F46" s="211"/>
      <c r="G46" s="211"/>
      <c r="H46" s="196">
        <f t="shared" si="0"/>
        <v>4594.9161000000004</v>
      </c>
      <c r="I46" s="197">
        <f t="shared" si="1"/>
        <v>4.59</v>
      </c>
      <c r="J46" s="1103"/>
      <c r="K46" s="188"/>
      <c r="L46" s="149"/>
      <c r="M46" s="149"/>
      <c r="N46" s="149"/>
      <c r="O46" s="149"/>
    </row>
    <row r="47" spans="1:15" ht="15">
      <c r="A47" s="1097"/>
      <c r="B47" s="1100"/>
      <c r="C47" s="211" t="s">
        <v>175</v>
      </c>
      <c r="D47" s="211">
        <f>259.0621+329.0795+392.971+356.241+149.0688+75.0821</f>
        <v>1561.5045</v>
      </c>
      <c r="E47" s="211"/>
      <c r="F47" s="211"/>
      <c r="G47" s="211"/>
      <c r="H47" s="196">
        <f t="shared" si="0"/>
        <v>1561.5045</v>
      </c>
      <c r="I47" s="197">
        <f>TRUNC(H47/1000,2)</f>
        <v>1.56</v>
      </c>
      <c r="J47" s="1103"/>
      <c r="K47" s="188"/>
      <c r="L47" s="149"/>
      <c r="M47" s="149"/>
      <c r="N47" s="149"/>
      <c r="O47" s="149"/>
    </row>
    <row r="48" spans="1:15" ht="15">
      <c r="A48" s="1097"/>
      <c r="B48" s="1100"/>
      <c r="C48" s="211" t="s">
        <v>176</v>
      </c>
      <c r="D48" s="211">
        <f>36.2914+83.4593+140.2647+45.9463+182.9054+91.6766+32.3744+30.9715+184.0389+96.9531+38.0962+183.375+168.6712+50.4776+184.7072+140.5791+41.8862+184.4974+141.1358+208.7905+94.6863+223.258+75.7554</f>
        <v>2660.7974999999992</v>
      </c>
      <c r="E48" s="211"/>
      <c r="F48" s="211"/>
      <c r="G48" s="211"/>
      <c r="H48" s="196">
        <f t="shared" si="0"/>
        <v>2660.7974999999992</v>
      </c>
      <c r="I48" s="197">
        <f>TRUNC(H48/1000,2)</f>
        <v>2.66</v>
      </c>
      <c r="J48" s="1103"/>
      <c r="K48" s="188"/>
      <c r="L48" s="149"/>
      <c r="M48" s="149"/>
      <c r="N48" s="149"/>
      <c r="O48" s="149"/>
    </row>
    <row r="49" spans="1:15" ht="15">
      <c r="A49" s="1097"/>
      <c r="B49" s="1100"/>
      <c r="C49" s="211" t="s">
        <v>173</v>
      </c>
      <c r="D49" s="211"/>
      <c r="E49" s="211"/>
      <c r="F49" s="211">
        <f>320.5997+48.6962+203.0673+96.3431+49.7415+112.0214+214.1216+113.2045+218.1625+11.0398+266.0755+265.1335+84.6777+298.7429</f>
        <v>2301.6271999999999</v>
      </c>
      <c r="G49" s="211"/>
      <c r="H49" s="201">
        <f>SUM(D49:G49)</f>
        <v>2301.6271999999999</v>
      </c>
      <c r="I49" s="197">
        <f>TRUNC(H49/1000,2)</f>
        <v>2.2999999999999998</v>
      </c>
      <c r="J49" s="1104"/>
      <c r="K49" s="188"/>
      <c r="L49" s="149"/>
      <c r="M49" s="149"/>
      <c r="N49" s="149"/>
      <c r="O49" s="149"/>
    </row>
    <row r="50" spans="1:15" ht="15.75" thickBot="1">
      <c r="A50" s="1098"/>
      <c r="B50" s="1101"/>
      <c r="C50" s="199" t="s">
        <v>174</v>
      </c>
      <c r="D50" s="199">
        <f>455.0872+389.105+378.2697+339.8981+50.4488+288.4367+104.9578+138.5117+139.2091+44.9835</f>
        <v>2328.9075999999995</v>
      </c>
      <c r="E50" s="199"/>
      <c r="F50" s="199"/>
      <c r="G50" s="199"/>
      <c r="H50" s="276">
        <f t="shared" ref="H50:H55" si="2">D50</f>
        <v>2328.9075999999995</v>
      </c>
      <c r="I50" s="193">
        <f>TRUNC(H50/1000,2)</f>
        <v>2.3199999999999998</v>
      </c>
      <c r="J50" s="1105"/>
      <c r="K50" s="188"/>
      <c r="L50" s="149"/>
      <c r="M50" s="149"/>
      <c r="N50" s="149"/>
      <c r="O50" s="149"/>
    </row>
    <row r="51" spans="1:15" ht="15">
      <c r="A51" s="1106">
        <v>3</v>
      </c>
      <c r="B51" s="1109" t="s">
        <v>488</v>
      </c>
      <c r="C51" s="328" t="s">
        <v>181</v>
      </c>
      <c r="D51" s="219">
        <f>612.5776+270.4986+334.7204+141.754</f>
        <v>1359.5505999999998</v>
      </c>
      <c r="E51" s="219"/>
      <c r="F51" s="219"/>
      <c r="G51" s="219"/>
      <c r="H51" s="273">
        <f t="shared" si="2"/>
        <v>1359.5505999999998</v>
      </c>
      <c r="I51" s="274">
        <f t="shared" si="1"/>
        <v>1.35</v>
      </c>
      <c r="J51" s="1110">
        <f>TRUNC(SUM(I51:I55))</f>
        <v>26</v>
      </c>
      <c r="K51" s="188"/>
      <c r="L51" s="149"/>
      <c r="M51" s="149"/>
      <c r="N51" s="149"/>
      <c r="O51" s="149"/>
    </row>
    <row r="52" spans="1:15" ht="15">
      <c r="A52" s="1107"/>
      <c r="B52" s="1100"/>
      <c r="C52" s="329" t="s">
        <v>182</v>
      </c>
      <c r="D52" s="211">
        <f>94.5204+60.9035+461.2011+471.0691+174.0591+326.9863+347.4798+184.599+175.4605+22.7354+336.8476+342.5379+137.7537+135.982+241.8265+122.2229+109.507+100.4481+104.9287+106.9242+55.1157</f>
        <v>4113.1085000000003</v>
      </c>
      <c r="E52" s="211"/>
      <c r="F52" s="211"/>
      <c r="G52" s="211"/>
      <c r="H52" s="196">
        <f t="shared" si="2"/>
        <v>4113.1085000000003</v>
      </c>
      <c r="I52" s="197">
        <f t="shared" si="1"/>
        <v>4.1100000000000003</v>
      </c>
      <c r="J52" s="1110"/>
      <c r="K52" s="188"/>
      <c r="L52" s="149"/>
      <c r="M52" s="149"/>
      <c r="N52" s="149"/>
      <c r="O52" s="149"/>
    </row>
    <row r="53" spans="1:15" ht="15">
      <c r="A53" s="1107"/>
      <c r="B53" s="1100"/>
      <c r="C53" s="329" t="s">
        <v>183</v>
      </c>
      <c r="D53" s="211">
        <f>501.885+88.4959+260.9955+219.4054+114.0544+255.3769+224.6877+122.8003+109.0189+255.4599+224.6777+40.7863+130.8203+221.7884+337.1717+128.2747+223.0352+336.6942+200.4188+96.2463+338.1616+202.1696+254.0267+156.659+291.117+212.8641+119.1472+177.3736+95.0884+112.2203+116.9594+357.2636+125.0132+263.3309+141.5984+141.5084+311.1542+205.3365+408.8065+41.0231+134.9508+134.5985+53.4894+70.5026+161.7534+147.133+94.1016+78.5115+79.6321+6.7956+197.8285+31.5965+154.4007+107.4257+69.065</f>
        <v>9684.7001</v>
      </c>
      <c r="E53" s="211"/>
      <c r="F53" s="211"/>
      <c r="G53" s="211"/>
      <c r="H53" s="196">
        <f t="shared" si="2"/>
        <v>9684.7001</v>
      </c>
      <c r="I53" s="197">
        <f t="shared" si="1"/>
        <v>9.68</v>
      </c>
      <c r="J53" s="1110"/>
      <c r="K53" s="188"/>
      <c r="L53" s="149"/>
      <c r="M53" s="149"/>
      <c r="N53" s="149"/>
      <c r="O53" s="149"/>
    </row>
    <row r="54" spans="1:15" ht="15">
      <c r="A54" s="1107"/>
      <c r="B54" s="1100"/>
      <c r="C54" s="211" t="s">
        <v>179</v>
      </c>
      <c r="D54" s="211">
        <f>414.9279+44.9975+58.802+382.0382+74.0898+322.0301+243.7585+202.6599+165.6352+368.4492+522.7122+10.6862+10.4925+10.6225+10.428+7.6736+17.0827+4.5512+84.6367+133.9793+67.3781+76.061+114.3354+107.4127+95.2955+87.8086</f>
        <v>3638.5444999999991</v>
      </c>
      <c r="E54" s="211"/>
      <c r="F54" s="211"/>
      <c r="G54" s="211"/>
      <c r="H54" s="196">
        <f t="shared" si="2"/>
        <v>3638.5444999999991</v>
      </c>
      <c r="I54" s="197">
        <f>TRUNC(H54/1000,2)</f>
        <v>3.63</v>
      </c>
      <c r="J54" s="1110"/>
      <c r="K54" s="188"/>
      <c r="L54" s="149"/>
      <c r="M54" s="149"/>
      <c r="N54" s="149"/>
      <c r="O54" s="149"/>
    </row>
    <row r="55" spans="1:15" ht="15.75" thickBot="1">
      <c r="A55" s="1108"/>
      <c r="B55" s="1101"/>
      <c r="C55" s="330" t="s">
        <v>185</v>
      </c>
      <c r="D55" s="199">
        <f>59.1677+92.3391+52.7474+201.5593+357.0087+360.1766+137.9404+360.4225+137.2651+358.3755+162.1581+337.4655+333.4213+333.0745+150.1663+218.101+197.4427+334.5028+76.4881+182.0824+322.5935+171.5535+135.6221+179.0829+178.1708+177.1434+178.0413+40.2895+39.6325+170.1539+79.9708+171.015+161.333+177.7965+162.5106+221.8199+191.8636+169.4067+89.3101+150.9854+10.7093</f>
        <v>7620.9092999999984</v>
      </c>
      <c r="E55" s="199"/>
      <c r="F55" s="199"/>
      <c r="G55" s="199"/>
      <c r="H55" s="192">
        <f t="shared" si="2"/>
        <v>7620.9092999999984</v>
      </c>
      <c r="I55" s="193">
        <f t="shared" si="1"/>
        <v>7.62</v>
      </c>
      <c r="J55" s="1111"/>
      <c r="K55" s="188"/>
      <c r="L55" s="149"/>
      <c r="M55" s="149"/>
      <c r="N55" s="149"/>
      <c r="O55" s="149"/>
    </row>
    <row r="56" spans="1:15" ht="15">
      <c r="A56" s="1115">
        <v>4</v>
      </c>
      <c r="B56" s="1113" t="s">
        <v>489</v>
      </c>
      <c r="C56" s="331" t="s">
        <v>168</v>
      </c>
      <c r="D56" s="198">
        <f>332.3272+342.8063+119.5963+190.3289+229.2103+306.7028</f>
        <v>1520.9718</v>
      </c>
      <c r="E56" s="198"/>
      <c r="F56" s="198">
        <f>727.1939+513.4656+570+1283+625.974+76.7835+114.7552+252.4089+177.7552+237.9402+166.7793+112.7256</f>
        <v>4858.7813999999998</v>
      </c>
      <c r="G56" s="198">
        <f>167.3542+568.9468+51.5441+92.7926</f>
        <v>880.6377</v>
      </c>
      <c r="H56" s="200">
        <f>SUM(D56:G56)</f>
        <v>7260.3909000000003</v>
      </c>
      <c r="I56" s="195">
        <f t="shared" si="1"/>
        <v>7.26</v>
      </c>
      <c r="J56" s="1112">
        <f>TRUNC(SUM(I56:I61))</f>
        <v>23</v>
      </c>
      <c r="K56" s="188"/>
      <c r="L56" s="149"/>
      <c r="M56" s="149"/>
      <c r="N56" s="149"/>
      <c r="O56" s="149"/>
    </row>
    <row r="57" spans="1:15" ht="15">
      <c r="A57" s="1116"/>
      <c r="B57" s="1114"/>
      <c r="C57" s="329" t="s">
        <v>169</v>
      </c>
      <c r="D57" s="211">
        <f>130.6273+363.0476+316.1426+272.1996+161.1169+75.5384+53.7837+148.8514+183.6734</f>
        <v>1704.9808999999998</v>
      </c>
      <c r="E57" s="211"/>
      <c r="F57" s="211"/>
      <c r="G57" s="211"/>
      <c r="H57" s="201">
        <f>D57</f>
        <v>1704.9808999999998</v>
      </c>
      <c r="I57" s="197">
        <f t="shared" si="1"/>
        <v>1.7</v>
      </c>
      <c r="J57" s="1110"/>
      <c r="K57" s="188"/>
      <c r="L57" s="149"/>
      <c r="M57" s="149"/>
      <c r="N57" s="149"/>
      <c r="O57" s="149"/>
    </row>
    <row r="58" spans="1:15" ht="15">
      <c r="A58" s="1116"/>
      <c r="B58" s="1114"/>
      <c r="C58" s="329" t="s">
        <v>170</v>
      </c>
      <c r="D58" s="211">
        <f>204.2249+69.8036+447.4658+159.663+133.0838+121.9888+134.4781+137.8104</f>
        <v>1408.5184000000002</v>
      </c>
      <c r="E58" s="211"/>
      <c r="F58" s="211"/>
      <c r="G58" s="211"/>
      <c r="H58" s="201">
        <f>D58</f>
        <v>1408.5184000000002</v>
      </c>
      <c r="I58" s="197">
        <f t="shared" si="1"/>
        <v>1.4</v>
      </c>
      <c r="J58" s="1110"/>
      <c r="K58" s="188"/>
      <c r="L58" s="149"/>
      <c r="M58" s="149"/>
      <c r="N58" s="149"/>
      <c r="O58" s="149"/>
    </row>
    <row r="59" spans="1:15" ht="15">
      <c r="A59" s="1116"/>
      <c r="B59" s="1114"/>
      <c r="C59" s="329" t="s">
        <v>171</v>
      </c>
      <c r="D59" s="211">
        <f>717.6619+708.2451+699.1984+686.608+135.1164+176.6109+161.5228+539.6637+460.1471+496.2322+434.8202+681.5899+226.6302+204.4041+42.791+199.0089+186.477+89.4783+184.9601+123.0793+83.0006+61.1681+126.2715+90.41+188.2317+166.6508+417.4579+144.3444+91.929+182.1576+157.9288+95.8488+264.2265</f>
        <v>9223.8712000000014</v>
      </c>
      <c r="E59" s="211"/>
      <c r="F59" s="211"/>
      <c r="G59" s="211"/>
      <c r="H59" s="201">
        <f>D59</f>
        <v>9223.8712000000014</v>
      </c>
      <c r="I59" s="197">
        <f t="shared" si="1"/>
        <v>9.2200000000000006</v>
      </c>
      <c r="J59" s="1110"/>
      <c r="K59" s="188"/>
      <c r="L59" s="149"/>
      <c r="M59" s="149"/>
      <c r="N59" s="149"/>
      <c r="O59" s="149"/>
    </row>
    <row r="60" spans="1:15" ht="15">
      <c r="A60" s="1116"/>
      <c r="B60" s="1114"/>
      <c r="C60" s="211" t="s">
        <v>180</v>
      </c>
      <c r="D60" s="211">
        <f>216.3011+79.698+136.2946+107.7189+128.7628+113.5603+33.889+6.1439+186.7074+295.0995</f>
        <v>1304.1755000000001</v>
      </c>
      <c r="E60" s="211"/>
      <c r="F60" s="211"/>
      <c r="G60" s="211"/>
      <c r="H60" s="196">
        <f>D60</f>
        <v>1304.1755000000001</v>
      </c>
      <c r="I60" s="197">
        <f>TRUNC(H60/1000,2)</f>
        <v>1.3</v>
      </c>
      <c r="J60" s="1110"/>
      <c r="K60" s="188"/>
      <c r="L60" s="149"/>
      <c r="M60" s="149"/>
      <c r="N60" s="149"/>
      <c r="O60" s="149"/>
    </row>
    <row r="61" spans="1:15" ht="15.75" thickBot="1">
      <c r="A61" s="1116"/>
      <c r="B61" s="1114"/>
      <c r="C61" s="223" t="s">
        <v>172</v>
      </c>
      <c r="D61" s="223">
        <f>824.0838+109.2418+502.7018+44.6957+298.288+470.5005+355.7391+198.6256+49.9164+43.8659+66.6826+7.9202</f>
        <v>2972.2613999999994</v>
      </c>
      <c r="E61" s="223"/>
      <c r="F61" s="223"/>
      <c r="G61" s="223"/>
      <c r="H61" s="324">
        <f>SUM(D61:G61)</f>
        <v>2972.2613999999994</v>
      </c>
      <c r="I61" s="272">
        <f>TRUNC(H61/1000,2)</f>
        <v>2.97</v>
      </c>
      <c r="J61" s="1110"/>
      <c r="K61" s="188"/>
      <c r="L61" s="149"/>
      <c r="M61" s="149"/>
      <c r="N61" s="149"/>
      <c r="O61" s="149"/>
    </row>
    <row r="62" spans="1:15" ht="15.75" thickBot="1">
      <c r="A62" s="1090" t="s">
        <v>131</v>
      </c>
      <c r="B62" s="1091"/>
      <c r="C62" s="1091"/>
      <c r="D62" s="1091"/>
      <c r="E62" s="1091"/>
      <c r="F62" s="1091"/>
      <c r="G62" s="1091"/>
      <c r="H62" s="1091"/>
      <c r="I62" s="1092"/>
      <c r="J62" s="315">
        <f>SUM(J43,J45,J51,J56)</f>
        <v>84.5</v>
      </c>
      <c r="K62" s="188"/>
      <c r="L62" s="149"/>
      <c r="M62" s="149"/>
      <c r="N62" s="149"/>
      <c r="O62" s="149"/>
    </row>
    <row r="63" spans="1:15" ht="15">
      <c r="A63" s="314"/>
      <c r="B63" s="314"/>
      <c r="C63" s="314"/>
      <c r="D63" s="189"/>
      <c r="E63" s="189"/>
      <c r="F63" s="151"/>
      <c r="G63" s="151"/>
      <c r="H63" s="151"/>
      <c r="I63" s="186"/>
      <c r="J63" s="186"/>
      <c r="K63" s="188"/>
      <c r="L63" s="149"/>
      <c r="M63" s="149"/>
      <c r="N63" s="149"/>
      <c r="O63" s="149"/>
    </row>
    <row r="64" spans="1:15" ht="15">
      <c r="A64" s="322"/>
      <c r="B64" s="323"/>
      <c r="C64" s="323"/>
      <c r="D64" s="147"/>
      <c r="E64" s="147"/>
      <c r="F64" s="147"/>
      <c r="G64" s="147"/>
      <c r="H64" s="147"/>
      <c r="I64" s="186"/>
      <c r="J64" s="186"/>
      <c r="K64" s="149"/>
      <c r="L64" s="149"/>
      <c r="M64" s="149"/>
      <c r="N64" s="149"/>
      <c r="O64" s="149"/>
    </row>
    <row r="65" spans="1:15" ht="15">
      <c r="A65" s="147"/>
      <c r="B65" s="202"/>
      <c r="C65" s="202"/>
      <c r="D65" s="147"/>
      <c r="E65" s="147"/>
      <c r="F65" s="147"/>
      <c r="G65" s="147"/>
      <c r="H65" s="147"/>
      <c r="I65" s="186"/>
      <c r="J65" s="186"/>
      <c r="K65" s="149"/>
      <c r="L65" s="149"/>
      <c r="M65" s="149"/>
      <c r="N65" s="149"/>
      <c r="O65" s="149"/>
    </row>
    <row r="66" spans="1:15" ht="15">
      <c r="A66" s="147"/>
      <c r="B66" s="202"/>
      <c r="C66" s="202"/>
      <c r="D66" s="147"/>
      <c r="E66" s="147"/>
      <c r="F66" s="147"/>
      <c r="G66" s="147"/>
      <c r="H66" s="147"/>
      <c r="I66" s="186"/>
      <c r="J66" s="186"/>
      <c r="K66" s="149"/>
      <c r="L66" s="149"/>
      <c r="M66" s="149"/>
      <c r="N66" s="149"/>
      <c r="O66" s="149"/>
    </row>
    <row r="67" spans="1:15" ht="15">
      <c r="A67" s="147"/>
      <c r="B67" s="202"/>
      <c r="C67" s="202"/>
      <c r="D67" s="147"/>
      <c r="E67" s="147"/>
      <c r="F67" s="147"/>
      <c r="G67" s="147"/>
      <c r="H67" s="147"/>
      <c r="I67" s="186"/>
      <c r="J67" s="186"/>
      <c r="K67" s="149"/>
      <c r="L67" s="149"/>
      <c r="M67" s="149"/>
      <c r="N67" s="149"/>
      <c r="O67" s="149"/>
    </row>
    <row r="68" spans="1:15" ht="15">
      <c r="A68" s="147"/>
      <c r="B68" s="202"/>
      <c r="C68" s="202"/>
      <c r="D68" s="147"/>
      <c r="E68" s="147"/>
      <c r="F68" s="147"/>
      <c r="G68" s="147"/>
      <c r="H68" s="147"/>
      <c r="I68" s="186"/>
      <c r="J68" s="186"/>
      <c r="K68" s="149"/>
      <c r="L68" s="149"/>
      <c r="M68" s="149"/>
      <c r="N68" s="149"/>
      <c r="O68" s="149"/>
    </row>
    <row r="69" spans="1:15" ht="15">
      <c r="A69" s="147"/>
      <c r="B69" s="202"/>
      <c r="C69" s="202"/>
      <c r="D69" s="147"/>
      <c r="E69" s="147"/>
      <c r="F69" s="147"/>
      <c r="G69" s="147"/>
      <c r="H69" s="147"/>
      <c r="I69" s="186"/>
      <c r="J69" s="186"/>
      <c r="K69" s="149"/>
      <c r="L69" s="149"/>
      <c r="M69" s="149"/>
      <c r="N69" s="149"/>
      <c r="O69" s="149"/>
    </row>
    <row r="70" spans="1:15" ht="15">
      <c r="A70" s="147"/>
      <c r="B70" s="202"/>
      <c r="C70" s="202"/>
      <c r="D70" s="147"/>
      <c r="E70" s="147"/>
      <c r="F70" s="147"/>
      <c r="G70" s="147"/>
      <c r="H70" s="147"/>
      <c r="I70" s="186"/>
      <c r="J70" s="186"/>
      <c r="K70" s="149"/>
      <c r="L70" s="149"/>
      <c r="M70" s="149"/>
      <c r="N70" s="149"/>
      <c r="O70" s="149"/>
    </row>
    <row r="71" spans="1:15" ht="15">
      <c r="A71" s="147"/>
      <c r="B71" s="202"/>
      <c r="C71" s="202"/>
      <c r="D71" s="147"/>
      <c r="E71" s="147"/>
      <c r="F71" s="147"/>
      <c r="G71" s="147"/>
      <c r="H71" s="147"/>
      <c r="I71" s="186"/>
      <c r="J71" s="186"/>
      <c r="K71" s="149"/>
      <c r="L71" s="149"/>
      <c r="M71" s="149"/>
      <c r="N71" s="149"/>
      <c r="O71" s="149"/>
    </row>
    <row r="72" spans="1:15" ht="15">
      <c r="A72" s="147"/>
      <c r="B72" s="202"/>
      <c r="C72" s="202"/>
      <c r="D72" s="147"/>
      <c r="E72" s="147"/>
      <c r="F72" s="147"/>
      <c r="G72" s="147"/>
      <c r="H72" s="147"/>
      <c r="I72" s="186"/>
      <c r="J72" s="186"/>
      <c r="K72" s="149"/>
      <c r="L72" s="149"/>
      <c r="M72" s="149"/>
      <c r="N72" s="149"/>
      <c r="O72" s="149"/>
    </row>
    <row r="73" spans="1:15" ht="15">
      <c r="A73" s="147"/>
      <c r="B73" s="202"/>
      <c r="C73" s="202"/>
      <c r="D73" s="147"/>
      <c r="E73" s="147"/>
      <c r="F73" s="147"/>
      <c r="G73" s="147"/>
      <c r="H73" s="147"/>
      <c r="I73" s="186"/>
      <c r="J73" s="186"/>
      <c r="K73" s="149"/>
      <c r="L73" s="149"/>
      <c r="M73" s="149"/>
      <c r="N73" s="149"/>
      <c r="O73" s="149"/>
    </row>
    <row r="74" spans="1:15" ht="15">
      <c r="A74" s="147"/>
      <c r="B74" s="202"/>
      <c r="C74" s="202"/>
      <c r="D74" s="147"/>
      <c r="E74" s="147"/>
      <c r="F74" s="147"/>
      <c r="G74" s="147"/>
      <c r="H74" s="147"/>
      <c r="I74" s="186"/>
      <c r="J74" s="186"/>
      <c r="K74" s="149"/>
      <c r="L74" s="149"/>
      <c r="M74" s="149"/>
      <c r="N74" s="149"/>
      <c r="O74" s="149"/>
    </row>
    <row r="75" spans="1:15" ht="15">
      <c r="A75" s="147"/>
      <c r="B75" s="202"/>
      <c r="C75" s="202"/>
      <c r="D75" s="147"/>
      <c r="E75" s="147"/>
      <c r="F75" s="147"/>
      <c r="G75" s="147"/>
      <c r="H75" s="147"/>
      <c r="I75" s="186"/>
      <c r="J75" s="186"/>
      <c r="K75" s="149"/>
      <c r="L75" s="149"/>
      <c r="M75" s="149"/>
      <c r="N75" s="149"/>
      <c r="O75" s="149"/>
    </row>
    <row r="76" spans="1:15" ht="15">
      <c r="A76" s="147"/>
      <c r="B76" s="202"/>
      <c r="C76" s="202"/>
      <c r="D76" s="147"/>
      <c r="E76" s="147"/>
      <c r="F76" s="147"/>
      <c r="G76" s="147"/>
      <c r="H76" s="147"/>
      <c r="I76" s="186"/>
      <c r="J76" s="186"/>
      <c r="K76" s="149"/>
      <c r="L76" s="149"/>
      <c r="M76" s="149"/>
      <c r="N76" s="149"/>
      <c r="O76" s="149"/>
    </row>
    <row r="77" spans="1:15" ht="15">
      <c r="A77" s="147"/>
      <c r="B77" s="202"/>
      <c r="C77" s="202"/>
      <c r="D77" s="147"/>
      <c r="E77" s="147"/>
      <c r="F77" s="147"/>
      <c r="G77" s="147"/>
      <c r="H77" s="147"/>
      <c r="I77" s="186"/>
      <c r="J77" s="186"/>
      <c r="K77" s="149"/>
      <c r="L77" s="149"/>
      <c r="M77" s="149"/>
      <c r="N77" s="149"/>
      <c r="O77" s="149"/>
    </row>
    <row r="78" spans="1:15" ht="15">
      <c r="A78" s="147"/>
      <c r="B78" s="202"/>
      <c r="C78" s="202"/>
      <c r="D78" s="147"/>
      <c r="E78" s="147"/>
      <c r="F78" s="147"/>
      <c r="G78" s="147"/>
      <c r="H78" s="147"/>
      <c r="I78" s="186"/>
      <c r="J78" s="186"/>
      <c r="K78" s="149"/>
      <c r="L78" s="149"/>
      <c r="M78" s="149"/>
      <c r="N78" s="149"/>
      <c r="O78" s="149"/>
    </row>
    <row r="79" spans="1:15" ht="15">
      <c r="A79" s="147"/>
      <c r="B79" s="202"/>
      <c r="C79" s="202"/>
      <c r="D79" s="147"/>
      <c r="E79" s="147"/>
      <c r="F79" s="147"/>
      <c r="G79" s="147"/>
      <c r="H79" s="147"/>
      <c r="I79" s="186"/>
      <c r="J79" s="186"/>
      <c r="K79" s="149"/>
      <c r="L79" s="149"/>
      <c r="M79" s="149"/>
      <c r="N79" s="149"/>
      <c r="O79" s="149"/>
    </row>
    <row r="80" spans="1:15" ht="15">
      <c r="A80" s="147"/>
      <c r="B80" s="202"/>
      <c r="C80" s="202"/>
      <c r="D80" s="147"/>
      <c r="E80" s="147"/>
      <c r="F80" s="147"/>
      <c r="G80" s="147"/>
      <c r="H80" s="147"/>
      <c r="I80" s="186"/>
      <c r="J80" s="186"/>
      <c r="K80" s="149"/>
      <c r="L80" s="149"/>
      <c r="M80" s="149"/>
      <c r="N80" s="149"/>
      <c r="O80" s="149"/>
    </row>
    <row r="81" spans="1:15" ht="15">
      <c r="A81" s="147"/>
      <c r="B81" s="202"/>
      <c r="C81" s="202"/>
      <c r="D81" s="147"/>
      <c r="E81" s="147"/>
      <c r="F81" s="147"/>
      <c r="G81" s="147"/>
      <c r="H81" s="147"/>
      <c r="I81" s="186"/>
      <c r="J81" s="186"/>
      <c r="K81" s="279"/>
      <c r="L81" s="279"/>
      <c r="M81" s="149"/>
      <c r="N81" s="149"/>
      <c r="O81" s="149"/>
    </row>
    <row r="82" spans="1:15" ht="15">
      <c r="A82" s="147"/>
      <c r="B82" s="202"/>
      <c r="C82" s="202"/>
      <c r="D82" s="147"/>
      <c r="E82" s="147"/>
      <c r="F82" s="147"/>
      <c r="G82" s="147"/>
      <c r="H82" s="147"/>
      <c r="I82" s="186"/>
      <c r="J82" s="186"/>
      <c r="K82" s="279"/>
      <c r="L82" s="279"/>
      <c r="M82" s="149"/>
      <c r="N82" s="149"/>
      <c r="O82" s="149"/>
    </row>
    <row r="83" spans="1:15" ht="15">
      <c r="A83" s="147"/>
      <c r="B83" s="202"/>
      <c r="C83" s="202"/>
      <c r="D83" s="147"/>
      <c r="E83" s="147"/>
      <c r="F83" s="147"/>
      <c r="G83" s="147"/>
      <c r="H83" s="147"/>
      <c r="I83" s="186"/>
      <c r="J83" s="186"/>
      <c r="K83" s="279"/>
      <c r="L83" s="279"/>
      <c r="M83" s="149"/>
      <c r="N83" s="149"/>
      <c r="O83" s="149"/>
    </row>
    <row r="84" spans="1:15" ht="15">
      <c r="A84" s="147"/>
      <c r="B84" s="202"/>
      <c r="C84" s="202"/>
      <c r="D84" s="147"/>
      <c r="E84" s="147"/>
      <c r="F84" s="147"/>
      <c r="G84" s="147"/>
      <c r="H84" s="147"/>
      <c r="I84" s="186"/>
      <c r="J84" s="186"/>
      <c r="K84" s="279"/>
      <c r="L84" s="279"/>
      <c r="M84" s="149"/>
      <c r="N84" s="149"/>
      <c r="O84" s="149"/>
    </row>
    <row r="85" spans="1:15" ht="15">
      <c r="A85" s="147"/>
      <c r="B85" s="202"/>
      <c r="C85" s="202"/>
      <c r="D85" s="147"/>
      <c r="E85" s="147"/>
      <c r="F85" s="147"/>
      <c r="G85" s="147"/>
      <c r="H85" s="147"/>
      <c r="I85" s="186"/>
      <c r="J85" s="186"/>
      <c r="K85" s="149"/>
      <c r="L85" s="149"/>
      <c r="M85" s="149"/>
      <c r="N85" s="149"/>
      <c r="O85" s="149"/>
    </row>
    <row r="86" spans="1:15" ht="15">
      <c r="A86" s="147"/>
      <c r="B86" s="202"/>
      <c r="C86" s="202"/>
      <c r="D86" s="147"/>
      <c r="E86" s="147"/>
      <c r="F86" s="147"/>
      <c r="G86" s="147"/>
      <c r="H86" s="147"/>
      <c r="I86" s="186"/>
      <c r="J86" s="186"/>
      <c r="K86" s="149"/>
      <c r="L86" s="149"/>
      <c r="M86" s="149"/>
      <c r="N86" s="149"/>
      <c r="O86" s="149"/>
    </row>
    <row r="87" spans="1:15" ht="15">
      <c r="A87" s="147"/>
      <c r="B87" s="202"/>
      <c r="C87" s="202"/>
      <c r="D87" s="147"/>
      <c r="E87" s="147"/>
      <c r="F87" s="147"/>
      <c r="G87" s="147"/>
      <c r="H87" s="147"/>
      <c r="I87" s="186"/>
      <c r="J87" s="186"/>
      <c r="K87" s="149"/>
      <c r="L87" s="149"/>
      <c r="M87" s="149"/>
      <c r="N87" s="149"/>
      <c r="O87" s="149"/>
    </row>
    <row r="88" spans="1:15" ht="15">
      <c r="A88" s="147"/>
      <c r="B88" s="202"/>
      <c r="C88" s="202"/>
      <c r="D88" s="147"/>
      <c r="E88" s="147"/>
      <c r="F88" s="147"/>
      <c r="G88" s="147"/>
      <c r="H88" s="147"/>
      <c r="I88" s="186"/>
      <c r="J88" s="186"/>
      <c r="K88" s="149"/>
      <c r="L88" s="149"/>
      <c r="M88" s="149"/>
      <c r="N88" s="149"/>
      <c r="O88" s="149"/>
    </row>
    <row r="89" spans="1:15" ht="15">
      <c r="A89" s="147"/>
      <c r="B89" s="202"/>
      <c r="C89" s="202"/>
      <c r="D89" s="147"/>
      <c r="E89" s="147"/>
      <c r="F89" s="147"/>
      <c r="G89" s="147"/>
      <c r="H89" s="147"/>
      <c r="I89" s="186"/>
      <c r="J89" s="186"/>
      <c r="K89" s="149"/>
      <c r="L89" s="149"/>
      <c r="M89" s="149"/>
      <c r="N89" s="149"/>
      <c r="O89" s="149"/>
    </row>
    <row r="90" spans="1:15" ht="15">
      <c r="A90" s="147"/>
      <c r="B90" s="202"/>
      <c r="C90" s="202"/>
      <c r="D90" s="147"/>
      <c r="E90" s="147"/>
      <c r="F90" s="147"/>
      <c r="G90" s="147"/>
      <c r="H90" s="147"/>
      <c r="I90" s="186"/>
      <c r="J90" s="186"/>
      <c r="K90" s="149"/>
      <c r="L90" s="149"/>
      <c r="M90" s="149"/>
      <c r="N90" s="149"/>
      <c r="O90" s="149"/>
    </row>
    <row r="91" spans="1:15" ht="15">
      <c r="A91" s="147"/>
      <c r="B91" s="202"/>
      <c r="C91" s="202"/>
      <c r="D91" s="147"/>
      <c r="E91" s="147"/>
      <c r="F91" s="147"/>
      <c r="G91" s="147"/>
      <c r="H91" s="147"/>
      <c r="I91" s="186"/>
      <c r="J91" s="186"/>
      <c r="K91" s="149"/>
      <c r="L91" s="149"/>
      <c r="M91" s="149"/>
      <c r="N91" s="149"/>
      <c r="O91" s="149"/>
    </row>
    <row r="92" spans="1:15" ht="15">
      <c r="A92" s="147"/>
      <c r="B92" s="202"/>
      <c r="C92" s="202"/>
      <c r="D92" s="147"/>
      <c r="E92" s="147"/>
      <c r="F92" s="147"/>
      <c r="G92" s="147"/>
      <c r="H92" s="147"/>
      <c r="I92" s="186"/>
      <c r="J92" s="186"/>
      <c r="K92" s="149"/>
      <c r="L92" s="149"/>
      <c r="M92" s="149"/>
      <c r="N92" s="149"/>
      <c r="O92" s="149"/>
    </row>
    <row r="93" spans="1:15" ht="15">
      <c r="A93" s="147"/>
      <c r="B93" s="202"/>
      <c r="C93" s="202"/>
      <c r="D93" s="147"/>
      <c r="E93" s="147"/>
      <c r="F93" s="147"/>
      <c r="G93" s="147"/>
      <c r="H93" s="147"/>
      <c r="I93" s="186"/>
      <c r="J93" s="186"/>
      <c r="K93" s="149"/>
      <c r="L93" s="149"/>
      <c r="M93" s="149"/>
      <c r="N93" s="149"/>
      <c r="O93" s="149"/>
    </row>
    <row r="94" spans="1:15" ht="15">
      <c r="A94" s="147"/>
      <c r="B94" s="202"/>
      <c r="C94" s="202"/>
      <c r="D94" s="147"/>
      <c r="E94" s="147"/>
      <c r="F94" s="147"/>
      <c r="G94" s="147"/>
      <c r="H94" s="147"/>
      <c r="I94" s="186"/>
      <c r="J94" s="186"/>
      <c r="K94" s="149"/>
      <c r="L94" s="149"/>
      <c r="M94" s="149"/>
      <c r="N94" s="149"/>
      <c r="O94" s="149"/>
    </row>
    <row r="95" spans="1:15" ht="15">
      <c r="A95" s="147"/>
      <c r="B95" s="202"/>
      <c r="C95" s="202"/>
      <c r="D95" s="147"/>
      <c r="E95" s="147"/>
      <c r="F95" s="147"/>
      <c r="G95" s="147"/>
      <c r="H95" s="147"/>
      <c r="I95" s="186"/>
      <c r="J95" s="186"/>
      <c r="K95" s="149"/>
      <c r="L95" s="149"/>
      <c r="M95" s="149"/>
      <c r="N95" s="149"/>
      <c r="O95" s="149"/>
    </row>
    <row r="96" spans="1:15" ht="15">
      <c r="A96" s="147"/>
      <c r="B96" s="202"/>
      <c r="C96" s="202"/>
      <c r="D96" s="147"/>
      <c r="E96" s="147"/>
      <c r="F96" s="147"/>
      <c r="G96" s="147"/>
      <c r="H96" s="147"/>
      <c r="I96" s="186"/>
      <c r="J96" s="186"/>
      <c r="K96" s="149"/>
      <c r="L96" s="149"/>
      <c r="M96" s="149"/>
      <c r="N96" s="149"/>
      <c r="O96" s="149"/>
    </row>
    <row r="97" spans="1:15" ht="15">
      <c r="A97" s="147"/>
      <c r="B97" s="202"/>
      <c r="C97" s="202"/>
      <c r="D97" s="147"/>
      <c r="E97" s="147"/>
      <c r="F97" s="147"/>
      <c r="G97" s="147"/>
      <c r="H97" s="147"/>
      <c r="I97" s="186"/>
      <c r="J97" s="186"/>
      <c r="K97" s="149"/>
      <c r="L97" s="149"/>
      <c r="M97" s="149"/>
      <c r="N97" s="149"/>
      <c r="O97" s="149"/>
    </row>
    <row r="98" spans="1:15" ht="15">
      <c r="A98" s="147"/>
      <c r="B98" s="202"/>
      <c r="C98" s="202"/>
      <c r="D98" s="147"/>
      <c r="E98" s="147"/>
      <c r="F98" s="147"/>
      <c r="G98" s="147"/>
      <c r="H98" s="147"/>
      <c r="I98" s="186"/>
      <c r="J98" s="186"/>
      <c r="K98" s="149"/>
      <c r="L98" s="149"/>
      <c r="M98" s="149"/>
      <c r="N98" s="149"/>
      <c r="O98" s="149"/>
    </row>
    <row r="99" spans="1:15" ht="15">
      <c r="A99" s="147"/>
      <c r="B99" s="202"/>
      <c r="C99" s="202"/>
      <c r="D99" s="147"/>
      <c r="E99" s="147"/>
      <c r="F99" s="147"/>
      <c r="G99" s="147"/>
      <c r="H99" s="147"/>
      <c r="I99" s="186"/>
      <c r="J99" s="186"/>
      <c r="K99" s="149"/>
      <c r="L99" s="149"/>
      <c r="M99" s="149"/>
      <c r="N99" s="149"/>
      <c r="O99" s="149"/>
    </row>
    <row r="100" spans="1:15" ht="15">
      <c r="A100" s="147"/>
      <c r="B100" s="202"/>
      <c r="C100" s="202"/>
      <c r="D100" s="147"/>
      <c r="E100" s="147"/>
      <c r="F100" s="147"/>
      <c r="G100" s="147"/>
      <c r="H100" s="147"/>
      <c r="I100" s="186"/>
      <c r="J100" s="186"/>
      <c r="K100" s="149"/>
      <c r="L100" s="149"/>
      <c r="M100" s="149"/>
      <c r="N100" s="149"/>
      <c r="O100" s="149"/>
    </row>
    <row r="101" spans="1:15" ht="15">
      <c r="A101" s="147"/>
      <c r="B101" s="202"/>
      <c r="C101" s="202"/>
      <c r="D101" s="147"/>
      <c r="E101" s="147"/>
      <c r="F101" s="147"/>
      <c r="G101" s="147"/>
      <c r="H101" s="147"/>
      <c r="I101" s="186"/>
      <c r="J101" s="186"/>
      <c r="K101" s="149"/>
      <c r="L101" s="149"/>
      <c r="M101" s="149"/>
      <c r="N101" s="149"/>
      <c r="O101" s="149"/>
    </row>
    <row r="102" spans="1:15" ht="15">
      <c r="A102" s="147"/>
      <c r="B102" s="202"/>
      <c r="C102" s="202"/>
      <c r="D102" s="147"/>
      <c r="E102" s="147"/>
      <c r="F102" s="147"/>
      <c r="G102" s="147"/>
      <c r="H102" s="147"/>
      <c r="I102" s="186"/>
      <c r="J102" s="186"/>
      <c r="K102" s="149"/>
      <c r="L102" s="149"/>
      <c r="M102" s="149"/>
      <c r="N102" s="149"/>
      <c r="O102" s="149"/>
    </row>
    <row r="103" spans="1:15" ht="15">
      <c r="A103" s="147"/>
      <c r="B103" s="202"/>
      <c r="C103" s="202"/>
      <c r="D103" s="147"/>
      <c r="E103" s="147"/>
      <c r="F103" s="147"/>
      <c r="G103" s="147"/>
      <c r="H103" s="147"/>
      <c r="I103" s="186"/>
      <c r="J103" s="186"/>
      <c r="K103" s="149"/>
      <c r="L103" s="149"/>
      <c r="M103" s="149"/>
      <c r="N103" s="149"/>
      <c r="O103" s="149"/>
    </row>
    <row r="104" spans="1:15" ht="15">
      <c r="A104" s="147"/>
      <c r="B104" s="202"/>
      <c r="C104" s="202"/>
      <c r="D104" s="147"/>
      <c r="E104" s="147"/>
      <c r="F104" s="147"/>
      <c r="G104" s="147"/>
      <c r="H104" s="147"/>
      <c r="I104" s="186"/>
      <c r="J104" s="186"/>
      <c r="K104" s="149"/>
      <c r="L104" s="149"/>
      <c r="M104" s="149"/>
      <c r="N104" s="149"/>
      <c r="O104" s="149"/>
    </row>
    <row r="105" spans="1:15" ht="15">
      <c r="A105" s="147"/>
      <c r="B105" s="202"/>
      <c r="C105" s="202"/>
      <c r="D105" s="147"/>
      <c r="E105" s="147"/>
      <c r="F105" s="147"/>
      <c r="G105" s="147"/>
      <c r="H105" s="147"/>
      <c r="I105" s="186"/>
      <c r="J105" s="186"/>
      <c r="K105" s="149"/>
      <c r="L105" s="149"/>
      <c r="M105" s="149"/>
      <c r="N105" s="149"/>
      <c r="O105" s="149"/>
    </row>
    <row r="106" spans="1:15" ht="15">
      <c r="A106" s="147"/>
      <c r="B106" s="202"/>
      <c r="C106" s="202"/>
      <c r="D106" s="147"/>
      <c r="E106" s="147"/>
      <c r="F106" s="147"/>
      <c r="G106" s="147"/>
      <c r="H106" s="147"/>
      <c r="I106" s="186"/>
      <c r="J106" s="186"/>
      <c r="K106" s="149"/>
      <c r="L106" s="149"/>
      <c r="M106" s="149"/>
      <c r="N106" s="149"/>
      <c r="O106" s="149"/>
    </row>
    <row r="107" spans="1:15" ht="15">
      <c r="A107" s="147"/>
      <c r="B107" s="202"/>
      <c r="C107" s="202"/>
      <c r="D107" s="147"/>
      <c r="E107" s="147"/>
      <c r="F107" s="147"/>
      <c r="G107" s="147"/>
      <c r="H107" s="147"/>
      <c r="I107" s="186"/>
      <c r="J107" s="186"/>
      <c r="K107" s="149"/>
      <c r="L107" s="149"/>
      <c r="M107" s="149"/>
      <c r="N107" s="149"/>
      <c r="O107" s="149"/>
    </row>
    <row r="108" spans="1:15" ht="15">
      <c r="A108" s="147"/>
      <c r="B108" s="202"/>
      <c r="C108" s="202"/>
      <c r="D108" s="147"/>
      <c r="E108" s="147"/>
      <c r="F108" s="147"/>
      <c r="G108" s="147"/>
      <c r="H108" s="147"/>
      <c r="I108" s="186"/>
      <c r="J108" s="186"/>
      <c r="K108" s="149"/>
      <c r="L108" s="149"/>
      <c r="M108" s="149"/>
      <c r="N108" s="149"/>
      <c r="O108" s="149"/>
    </row>
    <row r="109" spans="1:15" ht="15">
      <c r="A109" s="147"/>
      <c r="B109" s="202"/>
      <c r="C109" s="202"/>
      <c r="D109" s="147"/>
      <c r="E109" s="147"/>
      <c r="F109" s="147"/>
      <c r="G109" s="147"/>
      <c r="H109" s="147"/>
      <c r="I109" s="186"/>
      <c r="J109" s="186"/>
      <c r="K109" s="149"/>
      <c r="L109" s="149"/>
      <c r="M109" s="149"/>
      <c r="N109" s="149"/>
      <c r="O109" s="149"/>
    </row>
    <row r="110" spans="1:15" ht="15">
      <c r="A110" s="147"/>
      <c r="B110" s="202"/>
      <c r="C110" s="202"/>
      <c r="D110" s="147"/>
      <c r="E110" s="147"/>
      <c r="F110" s="147"/>
      <c r="G110" s="147"/>
      <c r="H110" s="147"/>
      <c r="I110" s="186"/>
      <c r="J110" s="186"/>
      <c r="K110" s="149"/>
      <c r="L110" s="149"/>
      <c r="M110" s="149"/>
      <c r="N110" s="149"/>
      <c r="O110" s="149"/>
    </row>
    <row r="111" spans="1:15" ht="15">
      <c r="A111" s="147"/>
      <c r="B111" s="202"/>
      <c r="C111" s="202"/>
      <c r="D111" s="147"/>
      <c r="E111" s="147"/>
      <c r="F111" s="147"/>
      <c r="G111" s="147"/>
      <c r="H111" s="147"/>
      <c r="I111" s="186"/>
      <c r="J111" s="186"/>
      <c r="K111" s="149"/>
      <c r="L111" s="149"/>
      <c r="M111" s="149"/>
      <c r="N111" s="149"/>
      <c r="O111" s="149"/>
    </row>
    <row r="112" spans="1:15" ht="15">
      <c r="A112" s="147"/>
      <c r="B112" s="202"/>
      <c r="C112" s="202"/>
      <c r="D112" s="147"/>
      <c r="E112" s="147"/>
      <c r="F112" s="147"/>
      <c r="G112" s="147"/>
      <c r="H112" s="147"/>
      <c r="I112" s="186"/>
      <c r="J112" s="186"/>
      <c r="K112" s="149"/>
      <c r="L112" s="149"/>
      <c r="M112" s="149"/>
      <c r="N112" s="149"/>
      <c r="O112" s="149"/>
    </row>
    <row r="113" spans="1:15" ht="15">
      <c r="A113" s="147"/>
      <c r="B113" s="202"/>
      <c r="C113" s="202"/>
      <c r="D113" s="147"/>
      <c r="E113" s="147"/>
      <c r="F113" s="147"/>
      <c r="G113" s="147"/>
      <c r="H113" s="147"/>
      <c r="I113" s="186"/>
      <c r="J113" s="186"/>
      <c r="K113" s="149"/>
      <c r="L113" s="149"/>
      <c r="M113" s="149"/>
      <c r="N113" s="149"/>
      <c r="O113" s="149"/>
    </row>
    <row r="114" spans="1:15" ht="15">
      <c r="A114" s="147"/>
      <c r="B114" s="202"/>
      <c r="C114" s="202"/>
      <c r="D114" s="147"/>
      <c r="E114" s="147"/>
      <c r="F114" s="147"/>
      <c r="G114" s="147"/>
      <c r="H114" s="147"/>
      <c r="I114" s="186"/>
      <c r="J114" s="186"/>
      <c r="K114" s="149"/>
      <c r="L114" s="149"/>
      <c r="M114" s="149"/>
      <c r="N114" s="149"/>
      <c r="O114" s="149"/>
    </row>
    <row r="115" spans="1:15" ht="15">
      <c r="A115" s="147"/>
      <c r="B115" s="202"/>
      <c r="C115" s="202"/>
      <c r="D115" s="147"/>
      <c r="E115" s="147"/>
      <c r="F115" s="147"/>
      <c r="G115" s="147"/>
      <c r="H115" s="147"/>
      <c r="I115" s="186"/>
      <c r="J115" s="186"/>
      <c r="K115" s="149"/>
      <c r="L115" s="149"/>
      <c r="M115" s="149"/>
      <c r="N115" s="149"/>
      <c r="O115" s="149"/>
    </row>
    <row r="116" spans="1:15" ht="15">
      <c r="A116" s="147"/>
      <c r="B116" s="202"/>
      <c r="C116" s="202"/>
      <c r="D116" s="147"/>
      <c r="E116" s="147"/>
      <c r="F116" s="147"/>
      <c r="G116" s="147"/>
      <c r="H116" s="147"/>
      <c r="I116" s="186"/>
      <c r="J116" s="186"/>
      <c r="K116" s="149"/>
      <c r="L116" s="149"/>
      <c r="M116" s="149"/>
      <c r="N116" s="149"/>
      <c r="O116" s="149"/>
    </row>
    <row r="117" spans="1:15" ht="15">
      <c r="A117" s="147"/>
      <c r="B117" s="202"/>
      <c r="C117" s="202"/>
      <c r="D117" s="147"/>
      <c r="E117" s="147"/>
      <c r="F117" s="147"/>
      <c r="G117" s="147"/>
      <c r="H117" s="147"/>
      <c r="I117" s="186"/>
      <c r="J117" s="186"/>
      <c r="K117" s="149"/>
      <c r="L117" s="149"/>
      <c r="M117" s="149"/>
      <c r="N117" s="149"/>
      <c r="O117" s="149"/>
    </row>
    <row r="118" spans="1:15" ht="15">
      <c r="A118" s="147"/>
      <c r="B118" s="202"/>
      <c r="C118" s="202"/>
      <c r="D118" s="147"/>
      <c r="E118" s="147"/>
      <c r="F118" s="147"/>
      <c r="G118" s="147"/>
      <c r="H118" s="147"/>
      <c r="I118" s="186"/>
      <c r="J118" s="186"/>
      <c r="K118" s="149"/>
      <c r="L118" s="149"/>
      <c r="M118" s="149"/>
      <c r="N118" s="149"/>
      <c r="O118" s="149"/>
    </row>
    <row r="119" spans="1:15" ht="15">
      <c r="A119" s="147"/>
      <c r="B119" s="202"/>
      <c r="C119" s="202"/>
      <c r="D119" s="147"/>
      <c r="E119" s="147"/>
      <c r="F119" s="147"/>
      <c r="G119" s="147"/>
      <c r="H119" s="147"/>
      <c r="I119" s="186"/>
      <c r="J119" s="186"/>
      <c r="K119" s="149"/>
      <c r="L119" s="149"/>
      <c r="M119" s="149"/>
      <c r="N119" s="149"/>
      <c r="O119" s="149"/>
    </row>
    <row r="120" spans="1:15" ht="15">
      <c r="A120" s="147"/>
      <c r="B120" s="202"/>
      <c r="C120" s="202"/>
      <c r="D120" s="147"/>
      <c r="E120" s="147"/>
      <c r="F120" s="147"/>
      <c r="G120" s="147"/>
      <c r="H120" s="147"/>
      <c r="I120" s="186"/>
      <c r="J120" s="186"/>
      <c r="K120" s="149"/>
      <c r="L120" s="149"/>
      <c r="M120" s="149"/>
      <c r="N120" s="149"/>
      <c r="O120" s="149"/>
    </row>
    <row r="121" spans="1:15" ht="15">
      <c r="A121" s="147"/>
      <c r="B121" s="202"/>
      <c r="C121" s="202"/>
      <c r="D121" s="147"/>
      <c r="E121" s="147"/>
      <c r="F121" s="147"/>
      <c r="G121" s="147"/>
      <c r="H121" s="147"/>
      <c r="I121" s="186"/>
      <c r="J121" s="186"/>
      <c r="K121" s="149"/>
      <c r="L121" s="149"/>
      <c r="M121" s="149"/>
      <c r="N121" s="149"/>
      <c r="O121" s="149"/>
    </row>
    <row r="122" spans="1:15" ht="15">
      <c r="A122" s="147"/>
      <c r="B122" s="202"/>
      <c r="C122" s="202"/>
      <c r="D122" s="147"/>
      <c r="E122" s="147"/>
      <c r="F122" s="147"/>
      <c r="G122" s="147"/>
      <c r="H122" s="147"/>
      <c r="I122" s="186"/>
      <c r="J122" s="186"/>
      <c r="K122" s="149"/>
      <c r="L122" s="149"/>
      <c r="M122" s="149"/>
      <c r="N122" s="149"/>
      <c r="O122" s="149"/>
    </row>
    <row r="123" spans="1:15" ht="15">
      <c r="A123" s="147"/>
      <c r="B123" s="202"/>
      <c r="C123" s="202"/>
      <c r="D123" s="147"/>
      <c r="E123" s="147"/>
      <c r="F123" s="147"/>
      <c r="G123" s="147"/>
      <c r="H123" s="147"/>
      <c r="I123" s="186"/>
      <c r="J123" s="186"/>
      <c r="K123" s="149"/>
      <c r="L123" s="149"/>
      <c r="M123" s="149"/>
      <c r="N123" s="149"/>
      <c r="O123" s="149"/>
    </row>
    <row r="124" spans="1:15" ht="15">
      <c r="A124" s="147"/>
      <c r="B124" s="202"/>
      <c r="C124" s="202"/>
      <c r="D124" s="147"/>
      <c r="E124" s="147"/>
      <c r="F124" s="147"/>
      <c r="G124" s="147"/>
      <c r="H124" s="147"/>
      <c r="I124" s="186"/>
      <c r="J124" s="186"/>
      <c r="K124" s="149"/>
      <c r="L124" s="149"/>
      <c r="M124" s="149"/>
      <c r="N124" s="149"/>
      <c r="O124" s="149"/>
    </row>
    <row r="125" spans="1:15" ht="15">
      <c r="A125" s="147"/>
      <c r="B125" s="202"/>
      <c r="C125" s="202"/>
      <c r="D125" s="147"/>
      <c r="E125" s="147"/>
      <c r="F125" s="147"/>
      <c r="G125" s="147"/>
      <c r="H125" s="147"/>
      <c r="I125" s="186"/>
      <c r="J125" s="186"/>
      <c r="K125" s="149"/>
      <c r="L125" s="149"/>
      <c r="M125" s="149"/>
      <c r="N125" s="149"/>
      <c r="O125" s="149"/>
    </row>
    <row r="126" spans="1:15" ht="15">
      <c r="A126" s="147"/>
      <c r="B126" s="202"/>
      <c r="C126" s="202"/>
      <c r="D126" s="147"/>
      <c r="E126" s="147"/>
      <c r="F126" s="147"/>
      <c r="G126" s="147"/>
      <c r="H126" s="147"/>
      <c r="I126" s="186"/>
      <c r="J126" s="186"/>
      <c r="K126" s="149"/>
      <c r="L126" s="149"/>
      <c r="M126" s="149"/>
      <c r="N126" s="149"/>
      <c r="O126" s="149"/>
    </row>
    <row r="127" spans="1:15" ht="15">
      <c r="A127" s="147"/>
      <c r="B127" s="202"/>
      <c r="C127" s="202"/>
      <c r="D127" s="147"/>
      <c r="E127" s="147"/>
      <c r="F127" s="147"/>
      <c r="G127" s="147"/>
      <c r="H127" s="147"/>
      <c r="I127" s="186"/>
      <c r="J127" s="186"/>
      <c r="K127" s="149"/>
      <c r="L127" s="149"/>
      <c r="M127" s="149"/>
      <c r="N127" s="149"/>
      <c r="O127" s="149"/>
    </row>
    <row r="128" spans="1:15" ht="15">
      <c r="A128" s="147"/>
      <c r="B128" s="202"/>
      <c r="C128" s="202"/>
      <c r="D128" s="147"/>
      <c r="E128" s="147"/>
      <c r="F128" s="147"/>
      <c r="G128" s="147"/>
      <c r="H128" s="147"/>
      <c r="I128" s="186"/>
      <c r="J128" s="186"/>
      <c r="K128" s="149"/>
      <c r="L128" s="149"/>
      <c r="M128" s="149"/>
      <c r="N128" s="149"/>
      <c r="O128" s="149"/>
    </row>
    <row r="129" spans="1:15" ht="15">
      <c r="A129" s="147"/>
      <c r="B129" s="202"/>
      <c r="C129" s="202"/>
      <c r="D129" s="147"/>
      <c r="E129" s="147"/>
      <c r="F129" s="147"/>
      <c r="G129" s="147"/>
      <c r="H129" s="147"/>
      <c r="I129" s="186"/>
      <c r="J129" s="186"/>
      <c r="K129" s="149"/>
      <c r="L129" s="149"/>
      <c r="M129" s="149"/>
      <c r="N129" s="149"/>
      <c r="O129" s="149"/>
    </row>
    <row r="130" spans="1:15" ht="15">
      <c r="A130" s="147"/>
      <c r="B130" s="202"/>
      <c r="C130" s="202"/>
      <c r="D130" s="147"/>
      <c r="E130" s="147"/>
      <c r="F130" s="147"/>
      <c r="G130" s="147"/>
      <c r="H130" s="147"/>
      <c r="I130" s="186"/>
      <c r="J130" s="186"/>
      <c r="K130" s="149"/>
      <c r="L130" s="149"/>
      <c r="M130" s="149"/>
      <c r="N130" s="149"/>
      <c r="O130" s="149"/>
    </row>
    <row r="131" spans="1:15" ht="15">
      <c r="A131" s="147"/>
      <c r="B131" s="202"/>
      <c r="C131" s="202"/>
      <c r="D131" s="147"/>
      <c r="E131" s="147"/>
      <c r="F131" s="147"/>
      <c r="G131" s="147"/>
      <c r="H131" s="147"/>
      <c r="I131" s="186"/>
      <c r="J131" s="186"/>
      <c r="K131" s="149"/>
      <c r="L131" s="149"/>
      <c r="M131" s="149"/>
      <c r="N131" s="149"/>
      <c r="O131" s="149"/>
    </row>
    <row r="132" spans="1:15" ht="15">
      <c r="A132" s="147"/>
      <c r="B132" s="202"/>
      <c r="C132" s="202"/>
      <c r="D132" s="147"/>
      <c r="E132" s="147"/>
      <c r="F132" s="147"/>
      <c r="G132" s="147"/>
      <c r="H132" s="147"/>
      <c r="I132" s="186"/>
      <c r="J132" s="186"/>
      <c r="K132" s="149"/>
      <c r="L132" s="149"/>
      <c r="M132" s="149"/>
      <c r="N132" s="149"/>
      <c r="O132" s="149"/>
    </row>
    <row r="133" spans="1:15" ht="15">
      <c r="A133" s="147"/>
      <c r="B133" s="202"/>
      <c r="C133" s="202"/>
      <c r="D133" s="147"/>
      <c r="E133" s="147"/>
      <c r="F133" s="147"/>
      <c r="G133" s="147"/>
      <c r="H133" s="147"/>
      <c r="I133" s="186"/>
      <c r="J133" s="186"/>
      <c r="K133" s="149"/>
      <c r="L133" s="149"/>
      <c r="M133" s="149"/>
      <c r="N133" s="149"/>
      <c r="O133" s="149"/>
    </row>
    <row r="134" spans="1:15" ht="15">
      <c r="A134" s="147"/>
      <c r="B134" s="202"/>
      <c r="C134" s="202"/>
      <c r="D134" s="147"/>
      <c r="E134" s="147"/>
      <c r="F134" s="147"/>
      <c r="G134" s="147"/>
      <c r="H134" s="147"/>
      <c r="I134" s="186"/>
      <c r="J134" s="186"/>
      <c r="K134" s="149"/>
      <c r="L134" s="149"/>
      <c r="M134" s="149"/>
      <c r="N134" s="149"/>
      <c r="O134" s="149"/>
    </row>
    <row r="135" spans="1:15" ht="15">
      <c r="A135" s="147"/>
      <c r="B135" s="202"/>
      <c r="C135" s="202"/>
      <c r="D135" s="147"/>
      <c r="E135" s="147"/>
      <c r="F135" s="147"/>
      <c r="G135" s="147"/>
      <c r="H135" s="147"/>
      <c r="I135" s="186"/>
      <c r="J135" s="186"/>
      <c r="K135" s="149"/>
      <c r="L135" s="149"/>
      <c r="M135" s="149"/>
      <c r="N135" s="149"/>
      <c r="O135" s="149"/>
    </row>
    <row r="136" spans="1:15" ht="15">
      <c r="A136" s="147"/>
      <c r="B136" s="202"/>
      <c r="C136" s="202"/>
      <c r="D136" s="147"/>
      <c r="E136" s="147"/>
      <c r="F136" s="147"/>
      <c r="G136" s="147"/>
      <c r="H136" s="147"/>
      <c r="I136" s="186"/>
      <c r="J136" s="186"/>
      <c r="K136" s="149"/>
      <c r="L136" s="149"/>
      <c r="M136" s="149"/>
      <c r="N136" s="149"/>
      <c r="O136" s="149"/>
    </row>
    <row r="137" spans="1:15" ht="12.75">
      <c r="A137" s="1"/>
      <c r="B137" s="1"/>
      <c r="C137" s="1"/>
      <c r="D137" s="1"/>
      <c r="E137" s="1"/>
      <c r="F137" s="1"/>
      <c r="G137" s="1"/>
      <c r="H137" s="1"/>
      <c r="I137" s="1"/>
      <c r="J137" s="1"/>
      <c r="K137" s="149"/>
      <c r="L137" s="149"/>
      <c r="M137" s="149"/>
      <c r="N137" s="149"/>
      <c r="O137" s="149"/>
    </row>
    <row r="138" spans="1:15" ht="12.75">
      <c r="A138" s="1"/>
      <c r="B138" s="1"/>
      <c r="C138" s="1"/>
      <c r="D138" s="1"/>
      <c r="E138" s="1"/>
      <c r="F138" s="1"/>
      <c r="G138" s="1"/>
      <c r="H138" s="1"/>
      <c r="I138" s="1"/>
      <c r="J138" s="1"/>
      <c r="K138" s="149"/>
      <c r="L138" s="149"/>
      <c r="M138" s="149"/>
      <c r="N138" s="149"/>
      <c r="O138" s="149"/>
    </row>
    <row r="139" spans="1:15" ht="12.75">
      <c r="A139" s="1"/>
      <c r="B139" s="1"/>
      <c r="C139" s="1"/>
      <c r="D139" s="1"/>
      <c r="E139" s="1"/>
      <c r="F139" s="1"/>
      <c r="G139" s="1"/>
      <c r="H139" s="1"/>
      <c r="I139" s="1"/>
      <c r="J139" s="1"/>
      <c r="K139" s="149"/>
      <c r="L139" s="149"/>
      <c r="M139" s="149"/>
      <c r="N139" s="149"/>
      <c r="O139" s="149"/>
    </row>
    <row r="140" spans="1:15" ht="12.75">
      <c r="A140" s="1"/>
      <c r="B140" s="1"/>
      <c r="C140" s="1"/>
      <c r="D140" s="1"/>
      <c r="E140" s="1"/>
      <c r="F140" s="1"/>
      <c r="G140" s="1"/>
      <c r="H140" s="1"/>
      <c r="I140" s="1"/>
      <c r="J140" s="1"/>
      <c r="K140" s="149"/>
      <c r="L140" s="149"/>
      <c r="M140" s="149"/>
      <c r="N140" s="149"/>
      <c r="O140" s="149"/>
    </row>
    <row r="141" spans="1:15" ht="12.75">
      <c r="A141" s="1"/>
      <c r="B141" s="1"/>
      <c r="C141" s="1"/>
      <c r="D141" s="1"/>
      <c r="E141" s="1"/>
      <c r="F141" s="1"/>
      <c r="G141" s="1"/>
      <c r="H141" s="1"/>
      <c r="I141" s="1"/>
      <c r="J141" s="1"/>
      <c r="K141" s="149"/>
      <c r="L141" s="149"/>
      <c r="M141" s="149"/>
      <c r="N141" s="149"/>
      <c r="O141" s="149"/>
    </row>
    <row r="142" spans="1:15" ht="12.75">
      <c r="A142" s="1"/>
      <c r="B142" s="1"/>
      <c r="C142" s="1"/>
      <c r="D142" s="1"/>
      <c r="E142" s="1"/>
      <c r="F142" s="1"/>
      <c r="G142" s="1"/>
      <c r="H142" s="1"/>
      <c r="I142" s="1"/>
      <c r="J142" s="1"/>
      <c r="K142" s="149"/>
      <c r="L142" s="149"/>
      <c r="M142" s="149"/>
      <c r="N142" s="149"/>
      <c r="O142" s="149"/>
    </row>
    <row r="143" spans="1:15" ht="12.75">
      <c r="A143" s="1"/>
      <c r="B143" s="1"/>
      <c r="C143" s="1"/>
      <c r="D143" s="1"/>
      <c r="E143" s="1"/>
      <c r="F143" s="1"/>
      <c r="G143" s="1"/>
      <c r="H143" s="1"/>
      <c r="I143" s="1"/>
      <c r="J143" s="1"/>
      <c r="K143" s="149"/>
      <c r="L143" s="149"/>
      <c r="M143" s="149"/>
      <c r="N143" s="149"/>
      <c r="O143" s="149"/>
    </row>
    <row r="144" spans="1:15" ht="12.75">
      <c r="A144" s="1"/>
      <c r="B144" s="1"/>
      <c r="C144" s="1"/>
      <c r="D144" s="1"/>
      <c r="E144" s="1"/>
      <c r="F144" s="1"/>
      <c r="G144" s="1"/>
      <c r="H144" s="1"/>
      <c r="I144" s="1"/>
      <c r="J144" s="1"/>
      <c r="K144" s="149"/>
      <c r="L144" s="149"/>
      <c r="M144" s="149"/>
      <c r="N144" s="149"/>
      <c r="O144" s="149"/>
    </row>
    <row r="145" spans="1:15" ht="12.75">
      <c r="A145" s="1"/>
      <c r="B145" s="1"/>
      <c r="C145" s="1"/>
      <c r="D145" s="1"/>
      <c r="E145" s="1"/>
      <c r="F145" s="1"/>
      <c r="G145" s="1"/>
      <c r="H145" s="1"/>
      <c r="I145" s="1"/>
      <c r="J145" s="1"/>
      <c r="K145" s="149"/>
      <c r="L145" s="149"/>
      <c r="M145" s="149"/>
      <c r="N145" s="149"/>
      <c r="O145" s="149"/>
    </row>
    <row r="146" spans="1:15" ht="12.75">
      <c r="A146" s="1"/>
      <c r="B146" s="1"/>
      <c r="C146" s="1"/>
      <c r="D146" s="1"/>
      <c r="E146" s="1"/>
      <c r="F146" s="1"/>
      <c r="G146" s="1"/>
      <c r="H146" s="1"/>
      <c r="I146" s="1"/>
      <c r="J146" s="1"/>
      <c r="K146" s="149"/>
      <c r="L146" s="149"/>
      <c r="M146" s="149"/>
      <c r="N146" s="149"/>
      <c r="O146" s="149"/>
    </row>
    <row r="147" spans="1:15" ht="12.75">
      <c r="A147" s="1"/>
      <c r="B147" s="1"/>
      <c r="C147" s="1"/>
      <c r="D147" s="1"/>
      <c r="E147" s="1"/>
      <c r="F147" s="1"/>
      <c r="G147" s="1"/>
      <c r="H147" s="1"/>
      <c r="I147" s="1"/>
      <c r="J147" s="1"/>
      <c r="K147" s="149"/>
      <c r="L147" s="149"/>
      <c r="M147" s="149"/>
      <c r="N147" s="149"/>
      <c r="O147" s="149"/>
    </row>
    <row r="148" spans="1:15" ht="12.75">
      <c r="A148" s="1"/>
      <c r="B148" s="1"/>
      <c r="C148" s="1"/>
      <c r="D148" s="1"/>
      <c r="E148" s="1"/>
      <c r="F148" s="1"/>
      <c r="G148" s="1"/>
      <c r="H148" s="1"/>
      <c r="I148" s="1"/>
      <c r="J148" s="1"/>
      <c r="K148" s="149"/>
      <c r="L148" s="149"/>
      <c r="M148" s="149"/>
      <c r="N148" s="149"/>
      <c r="O148" s="149"/>
    </row>
    <row r="149" spans="1:15" ht="12.75">
      <c r="A149" s="1"/>
      <c r="B149" s="1"/>
      <c r="C149" s="1"/>
      <c r="D149" s="1"/>
      <c r="E149" s="1"/>
      <c r="F149" s="1"/>
      <c r="G149" s="1"/>
      <c r="H149" s="1"/>
      <c r="I149" s="1"/>
      <c r="J149" s="1"/>
      <c r="K149" s="149"/>
      <c r="L149" s="149"/>
      <c r="M149" s="149"/>
      <c r="N149" s="149"/>
      <c r="O149" s="149"/>
    </row>
    <row r="150" spans="1:15" ht="12.75">
      <c r="A150" s="1"/>
      <c r="B150" s="1"/>
      <c r="C150" s="1"/>
      <c r="D150" s="1"/>
      <c r="E150" s="1"/>
      <c r="F150" s="1"/>
      <c r="G150" s="1"/>
      <c r="H150" s="1"/>
      <c r="I150" s="1"/>
      <c r="J150" s="1"/>
      <c r="K150" s="149"/>
      <c r="L150" s="149"/>
      <c r="M150" s="149"/>
      <c r="N150" s="149"/>
      <c r="O150" s="149"/>
    </row>
    <row r="151" spans="1:15" ht="12.75">
      <c r="A151" s="1"/>
      <c r="B151" s="1"/>
      <c r="C151" s="1"/>
      <c r="D151" s="1"/>
      <c r="E151" s="1"/>
      <c r="F151" s="1"/>
      <c r="G151" s="1"/>
      <c r="H151" s="1"/>
      <c r="I151" s="1"/>
      <c r="J151" s="1"/>
      <c r="K151" s="149"/>
      <c r="L151" s="149"/>
      <c r="M151" s="149"/>
      <c r="N151" s="149"/>
      <c r="O151" s="149"/>
    </row>
    <row r="152" spans="1:15" ht="12.75">
      <c r="A152" s="1"/>
      <c r="B152" s="1"/>
      <c r="C152" s="1"/>
      <c r="D152" s="1"/>
      <c r="E152" s="1"/>
      <c r="F152" s="1"/>
      <c r="G152" s="1"/>
      <c r="H152" s="1"/>
      <c r="I152" s="1"/>
      <c r="J152" s="1"/>
      <c r="K152" s="149"/>
      <c r="L152" s="149"/>
      <c r="M152" s="149"/>
      <c r="N152" s="149"/>
      <c r="O152" s="149"/>
    </row>
    <row r="153" spans="1:15" ht="12.75">
      <c r="A153" s="1"/>
      <c r="B153" s="1"/>
      <c r="C153" s="1"/>
      <c r="D153" s="1"/>
      <c r="E153" s="1"/>
      <c r="F153" s="1"/>
      <c r="G153" s="1"/>
      <c r="H153" s="1"/>
      <c r="I153" s="1"/>
      <c r="J153" s="1"/>
      <c r="K153" s="149"/>
      <c r="L153" s="149"/>
      <c r="M153" s="149"/>
      <c r="N153" s="149"/>
      <c r="O153" s="149"/>
    </row>
    <row r="154" spans="1:15" ht="12.75">
      <c r="A154" s="1"/>
      <c r="B154" s="1"/>
      <c r="C154" s="1"/>
      <c r="D154" s="1"/>
      <c r="E154" s="1"/>
      <c r="F154" s="1"/>
      <c r="G154" s="1"/>
      <c r="H154" s="1"/>
      <c r="I154" s="1"/>
      <c r="J154" s="1"/>
      <c r="K154" s="149"/>
      <c r="L154" s="149"/>
      <c r="M154" s="149"/>
      <c r="N154" s="149"/>
      <c r="O154" s="149"/>
    </row>
    <row r="155" spans="1:15" ht="12.75">
      <c r="A155" s="1"/>
      <c r="B155" s="1"/>
      <c r="C155" s="1"/>
      <c r="D155" s="1"/>
      <c r="E155" s="1"/>
      <c r="F155" s="1"/>
      <c r="G155" s="1"/>
      <c r="H155" s="1"/>
      <c r="I155" s="1"/>
      <c r="J155" s="1"/>
      <c r="K155" s="149"/>
      <c r="L155" s="149"/>
      <c r="M155" s="149"/>
      <c r="N155" s="149"/>
      <c r="O155" s="149"/>
    </row>
    <row r="156" spans="1:15" ht="12.75">
      <c r="A156" s="1"/>
      <c r="B156" s="1"/>
      <c r="C156" s="1"/>
      <c r="D156" s="1"/>
      <c r="E156" s="1"/>
      <c r="F156" s="1"/>
      <c r="G156" s="1"/>
      <c r="H156" s="1"/>
      <c r="I156" s="1"/>
      <c r="J156" s="1"/>
      <c r="K156" s="149"/>
      <c r="L156" s="149"/>
      <c r="M156" s="149"/>
      <c r="N156" s="149"/>
      <c r="O156" s="149"/>
    </row>
    <row r="157" spans="1:15" ht="12.75">
      <c r="A157" s="1"/>
      <c r="B157" s="1"/>
      <c r="C157" s="1"/>
      <c r="D157" s="1"/>
      <c r="E157" s="1"/>
      <c r="F157" s="1"/>
      <c r="G157" s="1"/>
      <c r="H157" s="1"/>
      <c r="I157" s="1"/>
      <c r="J157" s="1"/>
      <c r="K157" s="149"/>
      <c r="L157" s="149"/>
      <c r="M157" s="149"/>
      <c r="N157" s="149"/>
      <c r="O157" s="149"/>
    </row>
    <row r="158" spans="1:15" ht="15">
      <c r="A158" s="147"/>
      <c r="B158" s="202"/>
      <c r="C158" s="202"/>
      <c r="D158" s="147"/>
      <c r="E158" s="147"/>
      <c r="F158" s="147"/>
      <c r="G158" s="147"/>
      <c r="H158" s="147"/>
      <c r="I158" s="186"/>
      <c r="J158" s="186"/>
      <c r="K158" s="149"/>
      <c r="L158" s="149"/>
      <c r="M158" s="149"/>
      <c r="N158" s="149"/>
      <c r="O158" s="149"/>
    </row>
    <row r="159" spans="1:15" ht="15">
      <c r="A159" s="147"/>
      <c r="B159" s="202"/>
      <c r="C159" s="202"/>
      <c r="D159" s="147"/>
      <c r="E159" s="147"/>
      <c r="F159" s="147"/>
      <c r="G159" s="147"/>
      <c r="H159" s="147"/>
      <c r="I159" s="186"/>
      <c r="J159" s="186"/>
      <c r="K159" s="149"/>
      <c r="L159" s="149"/>
      <c r="M159" s="149"/>
      <c r="N159" s="149"/>
      <c r="O159" s="149"/>
    </row>
    <row r="160" spans="1:15" ht="15">
      <c r="A160" s="147"/>
      <c r="B160" s="202"/>
      <c r="C160" s="202"/>
      <c r="D160" s="147"/>
      <c r="E160" s="147"/>
      <c r="F160" s="147"/>
      <c r="G160" s="147"/>
      <c r="H160" s="147"/>
      <c r="I160" s="186"/>
      <c r="J160" s="186"/>
      <c r="K160" s="149"/>
      <c r="L160" s="149"/>
      <c r="M160" s="149"/>
      <c r="N160" s="149"/>
      <c r="O160" s="149"/>
    </row>
    <row r="161" spans="1:15" ht="15">
      <c r="A161" s="147"/>
      <c r="B161" s="202"/>
      <c r="C161" s="202"/>
      <c r="D161" s="147"/>
      <c r="E161" s="147"/>
      <c r="F161" s="147"/>
      <c r="G161" s="147"/>
      <c r="H161" s="147"/>
      <c r="I161" s="186"/>
      <c r="J161" s="186"/>
      <c r="K161" s="149"/>
      <c r="L161" s="149"/>
      <c r="M161" s="149"/>
      <c r="N161" s="149"/>
      <c r="O161" s="149"/>
    </row>
    <row r="162" spans="1:15" ht="15">
      <c r="A162" s="147"/>
      <c r="B162" s="202"/>
      <c r="C162" s="202"/>
      <c r="D162" s="147"/>
      <c r="E162" s="147"/>
      <c r="F162" s="147"/>
      <c r="G162" s="147"/>
      <c r="H162" s="147"/>
      <c r="I162" s="186"/>
      <c r="J162" s="186"/>
      <c r="K162" s="149"/>
      <c r="L162" s="149"/>
      <c r="M162" s="149"/>
      <c r="N162" s="149"/>
      <c r="O162" s="149"/>
    </row>
    <row r="163" spans="1:15" ht="15">
      <c r="A163" s="147"/>
      <c r="B163" s="202"/>
      <c r="C163" s="202"/>
      <c r="D163" s="147"/>
      <c r="E163" s="147"/>
      <c r="F163" s="147"/>
      <c r="G163" s="147"/>
      <c r="H163" s="147"/>
      <c r="I163" s="186"/>
      <c r="J163" s="186"/>
      <c r="K163" s="149"/>
      <c r="L163" s="149"/>
      <c r="M163" s="149"/>
      <c r="N163" s="149"/>
      <c r="O163" s="149"/>
    </row>
    <row r="164" spans="1:15" ht="15">
      <c r="A164" s="147"/>
      <c r="B164" s="202"/>
      <c r="C164" s="202"/>
      <c r="D164" s="147"/>
      <c r="E164" s="147"/>
      <c r="F164" s="147"/>
      <c r="G164" s="147"/>
      <c r="H164" s="147"/>
      <c r="I164" s="186"/>
      <c r="J164" s="186"/>
      <c r="K164" s="149"/>
      <c r="L164" s="149"/>
      <c r="M164" s="149"/>
      <c r="N164" s="149"/>
      <c r="O164" s="149"/>
    </row>
    <row r="165" spans="1:15" ht="15">
      <c r="A165" s="147"/>
      <c r="B165" s="202"/>
      <c r="C165" s="202"/>
      <c r="D165" s="147"/>
      <c r="E165" s="147"/>
      <c r="F165" s="147"/>
      <c r="G165" s="147"/>
      <c r="H165" s="147"/>
      <c r="I165" s="186"/>
      <c r="J165" s="186"/>
      <c r="K165" s="149"/>
      <c r="L165" s="149"/>
      <c r="M165" s="149"/>
      <c r="N165" s="149"/>
      <c r="O165" s="149"/>
    </row>
    <row r="166" spans="1:15" ht="15">
      <c r="A166" s="147"/>
      <c r="B166" s="202"/>
      <c r="C166" s="202"/>
      <c r="D166" s="147"/>
      <c r="E166" s="147"/>
      <c r="F166" s="147"/>
      <c r="G166" s="147"/>
      <c r="H166" s="147"/>
      <c r="I166" s="186"/>
      <c r="J166" s="186"/>
      <c r="K166" s="149"/>
      <c r="L166" s="149"/>
      <c r="M166" s="149"/>
      <c r="N166" s="149"/>
      <c r="O166" s="149"/>
    </row>
    <row r="167" spans="1:15" ht="15">
      <c r="A167" s="147"/>
      <c r="B167" s="202"/>
      <c r="C167" s="202"/>
      <c r="D167" s="147"/>
      <c r="E167" s="147"/>
      <c r="F167" s="147"/>
      <c r="G167" s="147"/>
      <c r="H167" s="147"/>
      <c r="I167" s="186"/>
      <c r="J167" s="186"/>
      <c r="K167" s="149"/>
      <c r="L167" s="149"/>
      <c r="M167" s="149"/>
      <c r="N167" s="149"/>
      <c r="O167" s="149"/>
    </row>
    <row r="168" spans="1:15" ht="15">
      <c r="A168" s="147"/>
      <c r="B168" s="202"/>
      <c r="C168" s="202"/>
      <c r="D168" s="147"/>
      <c r="E168" s="147"/>
      <c r="F168" s="147"/>
      <c r="G168" s="147"/>
      <c r="H168" s="147"/>
      <c r="I168" s="186"/>
      <c r="J168" s="186"/>
      <c r="K168" s="149"/>
      <c r="L168" s="149"/>
      <c r="M168" s="149"/>
      <c r="N168" s="149"/>
      <c r="O168" s="149"/>
    </row>
    <row r="169" spans="1:15" ht="15">
      <c r="A169" s="147"/>
      <c r="B169" s="202"/>
      <c r="C169" s="202"/>
      <c r="D169" s="147"/>
      <c r="E169" s="147"/>
      <c r="F169" s="147"/>
      <c r="G169" s="147"/>
      <c r="H169" s="147"/>
      <c r="I169" s="186"/>
      <c r="J169" s="186"/>
      <c r="K169" s="149"/>
      <c r="L169" s="149"/>
      <c r="M169" s="149"/>
      <c r="N169" s="149"/>
      <c r="O169" s="149"/>
    </row>
    <row r="170" spans="1:15" ht="15">
      <c r="A170" s="147"/>
      <c r="B170" s="202"/>
      <c r="C170" s="202"/>
      <c r="D170" s="147"/>
      <c r="E170" s="147"/>
      <c r="F170" s="147"/>
      <c r="G170" s="147"/>
      <c r="H170" s="147"/>
      <c r="I170" s="186"/>
      <c r="J170" s="186"/>
      <c r="K170" s="149"/>
      <c r="L170" s="149"/>
      <c r="M170" s="149"/>
      <c r="N170" s="149"/>
      <c r="O170" s="149"/>
    </row>
    <row r="171" spans="1:15" ht="15">
      <c r="A171" s="147"/>
      <c r="B171" s="202"/>
      <c r="C171" s="202"/>
      <c r="D171" s="147"/>
      <c r="E171" s="147"/>
      <c r="F171" s="147"/>
      <c r="G171" s="147"/>
      <c r="H171" s="147"/>
      <c r="I171" s="186"/>
      <c r="J171" s="186"/>
      <c r="K171" s="149"/>
      <c r="L171" s="149"/>
      <c r="M171" s="149"/>
      <c r="N171" s="149"/>
      <c r="O171" s="149"/>
    </row>
    <row r="172" spans="1:15" ht="15">
      <c r="A172" s="147"/>
      <c r="B172" s="202"/>
      <c r="C172" s="202"/>
      <c r="D172" s="147"/>
      <c r="E172" s="147"/>
      <c r="F172" s="147"/>
      <c r="G172" s="147"/>
      <c r="H172" s="147"/>
      <c r="I172" s="186"/>
      <c r="J172" s="186"/>
      <c r="K172" s="149"/>
      <c r="L172" s="149"/>
      <c r="M172" s="149"/>
      <c r="N172" s="149"/>
      <c r="O172" s="149"/>
    </row>
    <row r="173" spans="1:15" ht="15">
      <c r="A173" s="147"/>
      <c r="B173" s="202"/>
      <c r="C173" s="202"/>
      <c r="D173" s="147"/>
      <c r="E173" s="147"/>
      <c r="F173" s="147"/>
      <c r="G173" s="147"/>
      <c r="H173" s="147"/>
      <c r="I173" s="186"/>
      <c r="J173" s="186"/>
      <c r="K173" s="149"/>
      <c r="L173" s="149"/>
      <c r="M173" s="149"/>
      <c r="N173" s="149"/>
      <c r="O173" s="149"/>
    </row>
    <row r="174" spans="1:15" ht="15">
      <c r="A174" s="147"/>
      <c r="B174" s="202"/>
      <c r="C174" s="202"/>
      <c r="D174" s="147"/>
      <c r="E174" s="147"/>
      <c r="F174" s="147"/>
      <c r="G174" s="147"/>
      <c r="H174" s="147"/>
      <c r="I174" s="186"/>
      <c r="J174" s="186"/>
      <c r="K174" s="149"/>
      <c r="L174" s="149"/>
      <c r="M174" s="149"/>
      <c r="N174" s="149"/>
      <c r="O174" s="149"/>
    </row>
    <row r="175" spans="1:15" ht="15">
      <c r="A175" s="147"/>
      <c r="B175" s="202"/>
      <c r="C175" s="202"/>
      <c r="D175" s="147"/>
      <c r="E175" s="147"/>
      <c r="F175" s="147"/>
      <c r="G175" s="147"/>
      <c r="H175" s="147"/>
      <c r="I175" s="186"/>
      <c r="J175" s="186"/>
      <c r="K175" s="149"/>
      <c r="L175" s="149"/>
      <c r="M175" s="149"/>
      <c r="N175" s="149"/>
      <c r="O175" s="149"/>
    </row>
    <row r="176" spans="1:15" ht="15">
      <c r="A176" s="147"/>
      <c r="B176" s="202"/>
      <c r="C176" s="202"/>
      <c r="D176" s="147"/>
      <c r="E176" s="147"/>
      <c r="F176" s="147"/>
      <c r="G176" s="147"/>
      <c r="H176" s="147"/>
      <c r="I176" s="186"/>
      <c r="J176" s="186"/>
      <c r="K176" s="149"/>
      <c r="L176" s="149"/>
      <c r="M176" s="149"/>
      <c r="N176" s="149"/>
      <c r="O176" s="149"/>
    </row>
    <row r="177" spans="1:15" ht="15">
      <c r="A177" s="147"/>
      <c r="B177" s="202"/>
      <c r="C177" s="202"/>
      <c r="D177" s="147"/>
      <c r="E177" s="147"/>
      <c r="F177" s="147"/>
      <c r="G177" s="147"/>
      <c r="H177" s="147"/>
      <c r="I177" s="186"/>
      <c r="J177" s="186"/>
      <c r="K177" s="149"/>
      <c r="L177" s="149"/>
      <c r="M177" s="149"/>
      <c r="N177" s="149"/>
      <c r="O177" s="149"/>
    </row>
    <row r="178" spans="1:15" ht="15">
      <c r="A178" s="147"/>
      <c r="B178" s="202"/>
      <c r="C178" s="202"/>
      <c r="D178" s="147"/>
      <c r="E178" s="147"/>
      <c r="F178" s="147"/>
      <c r="G178" s="147"/>
      <c r="H178" s="147"/>
      <c r="I178" s="186"/>
      <c r="J178" s="186"/>
      <c r="K178" s="149"/>
      <c r="L178" s="149"/>
      <c r="M178" s="149"/>
      <c r="N178" s="149"/>
      <c r="O178" s="149"/>
    </row>
    <row r="179" spans="1:15" ht="15">
      <c r="A179" s="147"/>
      <c r="B179" s="202"/>
      <c r="C179" s="202"/>
      <c r="D179" s="147"/>
      <c r="E179" s="147"/>
      <c r="F179" s="147"/>
      <c r="G179" s="147"/>
      <c r="H179" s="147"/>
      <c r="I179" s="186"/>
      <c r="J179" s="186"/>
      <c r="K179" s="149"/>
      <c r="L179" s="149"/>
      <c r="M179" s="149"/>
      <c r="N179" s="149"/>
      <c r="O179" s="149"/>
    </row>
    <row r="180" spans="1:15" ht="15">
      <c r="A180" s="147"/>
      <c r="B180" s="202"/>
      <c r="C180" s="202"/>
      <c r="D180" s="147"/>
      <c r="E180" s="147"/>
      <c r="F180" s="147"/>
      <c r="G180" s="147"/>
      <c r="H180" s="147"/>
      <c r="I180" s="186"/>
      <c r="J180" s="186"/>
      <c r="K180" s="149"/>
      <c r="L180" s="149"/>
      <c r="M180" s="149"/>
      <c r="N180" s="149"/>
      <c r="O180" s="149"/>
    </row>
    <row r="181" spans="1:15" ht="15">
      <c r="A181" s="147"/>
      <c r="B181" s="202"/>
      <c r="C181" s="202"/>
      <c r="D181" s="147"/>
      <c r="E181" s="147"/>
      <c r="F181" s="147"/>
      <c r="G181" s="147"/>
      <c r="H181" s="147"/>
      <c r="I181" s="186"/>
      <c r="J181" s="186"/>
      <c r="K181" s="149"/>
      <c r="L181" s="149"/>
      <c r="M181" s="149"/>
      <c r="N181" s="149"/>
      <c r="O181" s="149"/>
    </row>
    <row r="182" spans="1:15" ht="15">
      <c r="A182" s="147"/>
      <c r="B182" s="202"/>
      <c r="C182" s="202"/>
      <c r="D182" s="147"/>
      <c r="E182" s="147"/>
      <c r="F182" s="147"/>
      <c r="G182" s="147"/>
      <c r="H182" s="147"/>
      <c r="I182" s="186"/>
      <c r="J182" s="186"/>
      <c r="K182" s="149"/>
      <c r="L182" s="149"/>
      <c r="M182" s="149"/>
      <c r="N182" s="149"/>
      <c r="O182" s="149"/>
    </row>
    <row r="183" spans="1:15" ht="15">
      <c r="A183" s="147"/>
      <c r="B183" s="202"/>
      <c r="C183" s="202"/>
      <c r="D183" s="147"/>
      <c r="E183" s="147"/>
      <c r="F183" s="147"/>
      <c r="G183" s="147"/>
      <c r="H183" s="147"/>
      <c r="I183" s="186"/>
      <c r="J183" s="186"/>
      <c r="K183" s="149"/>
      <c r="L183" s="149"/>
      <c r="M183" s="149"/>
      <c r="N183" s="149"/>
      <c r="O183" s="149"/>
    </row>
    <row r="184" spans="1:15" ht="15">
      <c r="A184" s="147"/>
      <c r="B184" s="202"/>
      <c r="C184" s="202"/>
      <c r="D184" s="147"/>
      <c r="E184" s="147"/>
      <c r="F184" s="147"/>
      <c r="G184" s="147"/>
      <c r="H184" s="147"/>
      <c r="I184" s="186"/>
      <c r="J184" s="186"/>
      <c r="K184" s="149"/>
      <c r="L184" s="149"/>
      <c r="M184" s="149"/>
      <c r="N184" s="149"/>
      <c r="O184" s="149"/>
    </row>
    <row r="185" spans="1:15" ht="15">
      <c r="A185" s="147"/>
      <c r="B185" s="202"/>
      <c r="C185" s="202"/>
      <c r="D185" s="147"/>
      <c r="E185" s="147"/>
      <c r="F185" s="147"/>
      <c r="G185" s="147"/>
      <c r="H185" s="147"/>
      <c r="I185" s="186"/>
      <c r="J185" s="186"/>
      <c r="K185" s="149"/>
      <c r="L185" s="149"/>
      <c r="M185" s="149"/>
      <c r="N185" s="149"/>
      <c r="O185" s="149"/>
    </row>
    <row r="186" spans="1:15" ht="15">
      <c r="A186" s="147"/>
      <c r="B186" s="202"/>
      <c r="C186" s="202"/>
      <c r="D186" s="147"/>
      <c r="E186" s="147"/>
      <c r="F186" s="147"/>
      <c r="G186" s="147"/>
      <c r="H186" s="147"/>
      <c r="I186" s="186"/>
      <c r="J186" s="186"/>
      <c r="K186" s="149"/>
      <c r="L186" s="149"/>
      <c r="M186" s="149"/>
      <c r="N186" s="149"/>
      <c r="O186" s="149"/>
    </row>
    <row r="187" spans="1:15" ht="15">
      <c r="A187" s="147"/>
      <c r="B187" s="202"/>
      <c r="C187" s="202"/>
      <c r="D187" s="147"/>
      <c r="E187" s="147"/>
      <c r="F187" s="147"/>
      <c r="G187" s="147"/>
      <c r="H187" s="147"/>
      <c r="I187" s="186"/>
      <c r="J187" s="186"/>
      <c r="K187" s="149"/>
      <c r="L187" s="149"/>
      <c r="M187" s="149"/>
      <c r="N187" s="149"/>
      <c r="O187" s="149"/>
    </row>
    <row r="188" spans="1:15" ht="15">
      <c r="A188" s="147"/>
      <c r="B188" s="202"/>
      <c r="C188" s="202"/>
      <c r="D188" s="147"/>
      <c r="E188" s="147"/>
      <c r="F188" s="147"/>
      <c r="G188" s="147"/>
      <c r="H188" s="147"/>
      <c r="I188" s="186"/>
      <c r="J188" s="186"/>
      <c r="K188" s="149"/>
      <c r="L188" s="149"/>
      <c r="M188" s="149"/>
      <c r="N188" s="149"/>
      <c r="O188" s="149"/>
    </row>
    <row r="189" spans="1:15" ht="15">
      <c r="A189" s="147"/>
      <c r="B189" s="202"/>
      <c r="C189" s="202"/>
      <c r="D189" s="147"/>
      <c r="E189" s="147"/>
      <c r="F189" s="147"/>
      <c r="G189" s="147"/>
      <c r="H189" s="147"/>
      <c r="I189" s="186"/>
      <c r="J189" s="186"/>
      <c r="K189" s="149"/>
      <c r="L189" s="149"/>
      <c r="M189" s="149"/>
      <c r="N189" s="149"/>
      <c r="O189" s="149"/>
    </row>
    <row r="190" spans="1:15" ht="15">
      <c r="A190" s="147"/>
      <c r="B190" s="202"/>
      <c r="C190" s="202"/>
      <c r="D190" s="147"/>
      <c r="E190" s="147"/>
      <c r="F190" s="147"/>
      <c r="G190" s="147"/>
      <c r="H190" s="147"/>
      <c r="I190" s="186"/>
      <c r="J190" s="186"/>
      <c r="K190" s="149"/>
      <c r="L190" s="149"/>
      <c r="M190" s="149"/>
      <c r="N190" s="149"/>
      <c r="O190" s="149"/>
    </row>
    <row r="191" spans="1:15" ht="15">
      <c r="A191" s="147"/>
      <c r="B191" s="202"/>
      <c r="C191" s="202"/>
      <c r="D191" s="147"/>
      <c r="E191" s="147"/>
      <c r="F191" s="147"/>
      <c r="G191" s="147"/>
      <c r="H191" s="147"/>
      <c r="I191" s="186"/>
      <c r="J191" s="186"/>
      <c r="K191" s="149"/>
      <c r="L191" s="149"/>
      <c r="M191" s="149"/>
      <c r="N191" s="149"/>
      <c r="O191" s="149"/>
    </row>
    <row r="192" spans="1:15" ht="15">
      <c r="A192" s="147"/>
      <c r="B192" s="202"/>
      <c r="C192" s="202"/>
      <c r="D192" s="147"/>
      <c r="E192" s="147"/>
      <c r="F192" s="147"/>
      <c r="G192" s="147"/>
      <c r="H192" s="147"/>
      <c r="I192" s="186"/>
      <c r="J192" s="186"/>
      <c r="K192" s="149"/>
      <c r="L192" s="149"/>
      <c r="M192" s="149"/>
      <c r="N192" s="149"/>
      <c r="O192" s="149"/>
    </row>
    <row r="193" spans="1:15" ht="15">
      <c r="A193" s="147"/>
      <c r="B193" s="202"/>
      <c r="C193" s="202"/>
      <c r="D193" s="147"/>
      <c r="E193" s="147"/>
      <c r="F193" s="147"/>
      <c r="G193" s="147"/>
      <c r="H193" s="147"/>
      <c r="I193" s="186"/>
      <c r="J193" s="186"/>
      <c r="K193" s="149"/>
      <c r="L193" s="149"/>
      <c r="M193" s="149"/>
      <c r="N193" s="149"/>
      <c r="O193" s="149"/>
    </row>
    <row r="194" spans="1:15" ht="15">
      <c r="A194" s="147"/>
      <c r="B194" s="202"/>
      <c r="C194" s="202"/>
      <c r="D194" s="147"/>
      <c r="E194" s="147"/>
      <c r="F194" s="147"/>
      <c r="G194" s="147"/>
      <c r="H194" s="147"/>
      <c r="I194" s="186"/>
      <c r="J194" s="186"/>
      <c r="K194" s="149"/>
      <c r="L194" s="149"/>
      <c r="M194" s="149"/>
      <c r="N194" s="149"/>
      <c r="O194" s="149"/>
    </row>
    <row r="195" spans="1:15" ht="15">
      <c r="A195" s="147"/>
      <c r="B195" s="202"/>
      <c r="C195" s="202"/>
      <c r="D195" s="147"/>
      <c r="E195" s="147"/>
      <c r="F195" s="147"/>
      <c r="G195" s="147"/>
      <c r="H195" s="147"/>
      <c r="I195" s="186"/>
      <c r="J195" s="186"/>
      <c r="K195" s="149"/>
      <c r="L195" s="149"/>
      <c r="M195" s="149"/>
      <c r="N195" s="149"/>
      <c r="O195" s="149"/>
    </row>
    <row r="196" spans="1:15" ht="15">
      <c r="A196" s="147"/>
      <c r="B196" s="202"/>
      <c r="C196" s="202"/>
      <c r="D196" s="147"/>
      <c r="E196" s="147"/>
      <c r="F196" s="147"/>
      <c r="G196" s="147"/>
      <c r="H196" s="147"/>
      <c r="I196" s="186"/>
      <c r="J196" s="186"/>
      <c r="K196" s="149"/>
      <c r="L196" s="149"/>
      <c r="M196" s="149"/>
      <c r="N196" s="149"/>
      <c r="O196" s="149"/>
    </row>
    <row r="197" spans="1:15" ht="15">
      <c r="A197" s="147"/>
      <c r="B197" s="202"/>
      <c r="C197" s="202"/>
      <c r="D197" s="147"/>
      <c r="E197" s="147"/>
      <c r="F197" s="147"/>
      <c r="G197" s="147"/>
      <c r="H197" s="147"/>
      <c r="I197" s="186"/>
      <c r="J197" s="186"/>
      <c r="K197" s="149"/>
      <c r="L197" s="149"/>
      <c r="M197" s="149"/>
      <c r="N197" s="149"/>
      <c r="O197" s="149"/>
    </row>
    <row r="198" spans="1:15" ht="15">
      <c r="A198" s="147"/>
      <c r="B198" s="202"/>
      <c r="C198" s="202"/>
      <c r="D198" s="147"/>
      <c r="E198" s="147"/>
      <c r="F198" s="147"/>
      <c r="G198" s="147"/>
      <c r="H198" s="147"/>
      <c r="I198" s="186"/>
      <c r="J198" s="186"/>
      <c r="K198" s="149"/>
      <c r="L198" s="149"/>
      <c r="M198" s="149"/>
      <c r="N198" s="149"/>
      <c r="O198" s="149"/>
    </row>
    <row r="199" spans="1:15" ht="15">
      <c r="A199" s="147"/>
      <c r="B199" s="202"/>
      <c r="C199" s="202"/>
      <c r="D199" s="147"/>
      <c r="E199" s="147"/>
      <c r="F199" s="147"/>
      <c r="G199" s="147"/>
      <c r="H199" s="147"/>
      <c r="I199" s="186"/>
      <c r="J199" s="186"/>
      <c r="K199" s="149"/>
      <c r="L199" s="149"/>
      <c r="M199" s="149"/>
      <c r="N199" s="149"/>
      <c r="O199" s="149"/>
    </row>
    <row r="200" spans="1:15" ht="15">
      <c r="A200" s="147"/>
      <c r="B200" s="202"/>
      <c r="C200" s="202"/>
      <c r="D200" s="147"/>
      <c r="E200" s="147"/>
      <c r="F200" s="147"/>
      <c r="G200" s="147"/>
      <c r="H200" s="147"/>
      <c r="I200" s="186"/>
      <c r="J200" s="186"/>
      <c r="K200" s="149"/>
      <c r="L200" s="149"/>
      <c r="M200" s="149"/>
      <c r="N200" s="149"/>
      <c r="O200" s="149"/>
    </row>
    <row r="201" spans="1:15" ht="15">
      <c r="A201" s="147"/>
      <c r="B201" s="202"/>
      <c r="J201" s="186"/>
      <c r="K201" s="149"/>
      <c r="L201" s="149"/>
      <c r="M201" s="149"/>
      <c r="N201" s="149"/>
      <c r="O201" s="149"/>
    </row>
    <row r="202" spans="1:15" ht="15">
      <c r="A202" s="147"/>
      <c r="B202" s="202"/>
      <c r="J202" s="186"/>
      <c r="K202" s="149"/>
      <c r="L202" s="149"/>
      <c r="M202" s="149"/>
      <c r="N202" s="149"/>
      <c r="O202" s="149"/>
    </row>
    <row r="203" spans="1:15" ht="15">
      <c r="A203" s="147"/>
      <c r="B203" s="202"/>
      <c r="J203" s="186"/>
      <c r="K203" s="149"/>
      <c r="L203" s="149"/>
      <c r="M203" s="149"/>
      <c r="N203" s="149"/>
      <c r="O203" s="149"/>
    </row>
  </sheetData>
  <protectedRanges>
    <protectedRange sqref="B12:C12 C4 A4 A10:A11" name="Intervalo1"/>
    <protectedRange sqref="A13:A20" name="Intervalo1_1"/>
  </protectedRanges>
  <mergeCells count="75">
    <mergeCell ref="F39:K39"/>
    <mergeCell ref="F40:K40"/>
    <mergeCell ref="A28:C28"/>
    <mergeCell ref="F28:K28"/>
    <mergeCell ref="F35:K35"/>
    <mergeCell ref="F36:K36"/>
    <mergeCell ref="F37:K37"/>
    <mergeCell ref="F38:K38"/>
    <mergeCell ref="F29:K29"/>
    <mergeCell ref="F30:K30"/>
    <mergeCell ref="F31:K31"/>
    <mergeCell ref="F32:K32"/>
    <mergeCell ref="A38:C38"/>
    <mergeCell ref="A39:C39"/>
    <mergeCell ref="A40:C40"/>
    <mergeCell ref="A13:K13"/>
    <mergeCell ref="F15:K15"/>
    <mergeCell ref="F16:K16"/>
    <mergeCell ref="F17:K17"/>
    <mergeCell ref="F18:K18"/>
    <mergeCell ref="A14:C14"/>
    <mergeCell ref="F14:K14"/>
    <mergeCell ref="A16:C16"/>
    <mergeCell ref="A18:C18"/>
    <mergeCell ref="A17:C17"/>
    <mergeCell ref="F22:K22"/>
    <mergeCell ref="F23:K23"/>
    <mergeCell ref="A35:C35"/>
    <mergeCell ref="A36:C36"/>
    <mergeCell ref="A37:C37"/>
    <mergeCell ref="A33:K33"/>
    <mergeCell ref="A34:K34"/>
    <mergeCell ref="F24:K24"/>
    <mergeCell ref="F25:K25"/>
    <mergeCell ref="F26:K26"/>
    <mergeCell ref="F27:K27"/>
    <mergeCell ref="A24:C24"/>
    <mergeCell ref="A19:C19"/>
    <mergeCell ref="F19:K19"/>
    <mergeCell ref="F20:K20"/>
    <mergeCell ref="F21:K21"/>
    <mergeCell ref="A21:C21"/>
    <mergeCell ref="A20:C20"/>
    <mergeCell ref="A1:K1"/>
    <mergeCell ref="A15:C15"/>
    <mergeCell ref="A32:C32"/>
    <mergeCell ref="A31:C31"/>
    <mergeCell ref="A30:C30"/>
    <mergeCell ref="A29:C29"/>
    <mergeCell ref="A27:C27"/>
    <mergeCell ref="A26:C26"/>
    <mergeCell ref="A22:C22"/>
    <mergeCell ref="A23:C23"/>
    <mergeCell ref="A25:C25"/>
    <mergeCell ref="A4:B4"/>
    <mergeCell ref="A12:K12"/>
    <mergeCell ref="A11:J11"/>
    <mergeCell ref="A3:K3"/>
    <mergeCell ref="A10:J10"/>
    <mergeCell ref="A2:K2"/>
    <mergeCell ref="D4:K4"/>
    <mergeCell ref="A62:I62"/>
    <mergeCell ref="D42:G42"/>
    <mergeCell ref="A45:A50"/>
    <mergeCell ref="B45:B50"/>
    <mergeCell ref="J45:J50"/>
    <mergeCell ref="A51:A55"/>
    <mergeCell ref="B51:B55"/>
    <mergeCell ref="J51:J55"/>
    <mergeCell ref="J43:J44"/>
    <mergeCell ref="J56:J61"/>
    <mergeCell ref="B56:B61"/>
    <mergeCell ref="A56:A61"/>
    <mergeCell ref="A43:A44"/>
    <mergeCell ref="B43:B44"/>
  </mergeCells>
  <phoneticPr fontId="17" type="noConversion"/>
  <conditionalFormatting sqref="L18:N18">
    <cfRule type="expression" dxfId="42" priority="1">
      <formula>CELL("proteger",L18)=1</formula>
    </cfRule>
  </conditionalFormatting>
  <printOptions horizontalCentered="1"/>
  <pageMargins left="0.7" right="0.7" top="0.75" bottom="0.75" header="0.3" footer="0.3"/>
  <pageSetup paperSize="9" scale="59" fitToHeight="0" orientation="portrait" r:id="rId1"/>
  <headerFooter scaleWithDoc="0"/>
  <drawing r:id="rId2"/>
  <legacyDrawing r:id="rId3"/>
  <legacyDrawingHF r:id="rId4"/>
  <oleObjects>
    <mc:AlternateContent xmlns:mc="http://schemas.openxmlformats.org/markup-compatibility/2006">
      <mc:Choice Requires="x14">
        <oleObject progId="CorelDraw.Graphic.18" shapeId="19457" r:id="rId5">
          <objectPr defaultSize="0" autoPict="0" r:id="rId6">
            <anchor moveWithCells="1">
              <from>
                <xdr:col>2</xdr:col>
                <xdr:colOff>381000</xdr:colOff>
                <xdr:row>0</xdr:row>
                <xdr:rowOff>95250</xdr:rowOff>
              </from>
              <to>
                <xdr:col>2</xdr:col>
                <xdr:colOff>1295400</xdr:colOff>
                <xdr:row>0</xdr:row>
                <xdr:rowOff>781050</xdr:rowOff>
              </to>
            </anchor>
          </objectPr>
        </oleObject>
      </mc:Choice>
      <mc:Fallback>
        <oleObject progId="CorelDraw.Graphic.18" shapeId="19457" r:id="rId5"/>
      </mc:Fallback>
    </mc:AlternateContent>
  </oleObject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B049AA-1FC9-4F53-A3C2-658A831C85E7}">
  <sheetPr>
    <tabColor theme="1" tint="0.249977111117893"/>
    <pageSetUpPr fitToPage="1"/>
  </sheetPr>
  <dimension ref="A1:Q137"/>
  <sheetViews>
    <sheetView showGridLines="0" view="pageBreakPreview" topLeftCell="A10" zoomScaleNormal="100" zoomScaleSheetLayoutView="100" workbookViewId="0">
      <selection activeCell="F28" sqref="F28:K28"/>
    </sheetView>
  </sheetViews>
  <sheetFormatPr defaultRowHeight="14.25"/>
  <cols>
    <col min="1" max="1" width="35.375" bestFit="1" customWidth="1"/>
    <col min="2" max="2" width="12" style="75" bestFit="1" customWidth="1"/>
    <col min="3" max="3" width="12.5" style="75" customWidth="1"/>
    <col min="4" max="4" width="15.5" style="75" bestFit="1" customWidth="1"/>
    <col min="5" max="5" width="14.25" style="75" customWidth="1"/>
    <col min="6" max="6" width="16.875" style="75" bestFit="1" customWidth="1"/>
    <col min="7" max="7" width="12.25" style="75" customWidth="1"/>
    <col min="8" max="8" width="11.125" style="77" bestFit="1" customWidth="1"/>
    <col min="9" max="9" width="14.25" style="75" customWidth="1"/>
    <col min="10" max="10" width="11.375" style="75" bestFit="1" customWidth="1"/>
    <col min="11" max="11" width="11" style="75" customWidth="1"/>
    <col min="12" max="12" width="50.625" style="61" bestFit="1" customWidth="1"/>
    <col min="13" max="13" width="13.625" style="61" bestFit="1" customWidth="1"/>
    <col min="14" max="14" width="36.25" style="61" customWidth="1"/>
  </cols>
  <sheetData>
    <row r="1" spans="1:17" s="1" customFormat="1" ht="65.25" customHeight="1" thickBot="1">
      <c r="A1" s="1120" t="s">
        <v>128</v>
      </c>
      <c r="B1" s="1121"/>
      <c r="C1" s="1121"/>
      <c r="D1" s="1121"/>
      <c r="E1" s="1121"/>
      <c r="F1" s="1121"/>
      <c r="G1" s="1121"/>
      <c r="H1" s="1121"/>
      <c r="I1" s="1121"/>
      <c r="J1" s="1121"/>
      <c r="K1" s="1122"/>
      <c r="L1" s="537"/>
      <c r="M1" s="537"/>
      <c r="N1" s="151"/>
      <c r="O1" s="151"/>
      <c r="P1" s="151" t="s">
        <v>166</v>
      </c>
      <c r="Q1" s="149">
        <v>14</v>
      </c>
    </row>
    <row r="2" spans="1:17" s="1" customFormat="1" ht="7.9" customHeight="1">
      <c r="A2" s="538"/>
      <c r="B2" s="538"/>
      <c r="C2" s="538"/>
      <c r="D2" s="538"/>
      <c r="E2" s="538"/>
      <c r="F2" s="538"/>
      <c r="G2" s="538"/>
      <c r="H2" s="538"/>
      <c r="I2" s="538"/>
      <c r="J2" s="151"/>
      <c r="K2" s="151"/>
      <c r="L2" s="147"/>
      <c r="M2" s="147"/>
      <c r="N2" s="149"/>
      <c r="O2" s="149"/>
      <c r="P2" s="149"/>
      <c r="Q2" s="149"/>
    </row>
    <row r="3" spans="1:17" s="1" customFormat="1" ht="21.6" customHeight="1" thickBot="1">
      <c r="A3" s="1198" t="s">
        <v>517</v>
      </c>
      <c r="B3" s="1198"/>
      <c r="C3" s="1198"/>
      <c r="D3" s="1198"/>
      <c r="E3" s="1198"/>
      <c r="F3" s="1198"/>
      <c r="G3" s="1198"/>
      <c r="H3" s="1198"/>
      <c r="I3" s="1198"/>
      <c r="J3" s="1198"/>
      <c r="K3" s="1198"/>
      <c r="L3" s="539"/>
      <c r="M3" s="539"/>
      <c r="N3" s="540"/>
      <c r="O3" s="149"/>
      <c r="P3" s="149" t="s">
        <v>165</v>
      </c>
      <c r="Q3" s="151">
        <f>230/1000</f>
        <v>0.23</v>
      </c>
    </row>
    <row r="4" spans="1:17" ht="60.75" thickBot="1">
      <c r="A4" s="541" t="s">
        <v>547</v>
      </c>
      <c r="B4" s="542" t="s">
        <v>531</v>
      </c>
      <c r="C4" s="542" t="s">
        <v>532</v>
      </c>
      <c r="D4" s="542" t="s">
        <v>129</v>
      </c>
      <c r="E4" s="542" t="s">
        <v>130</v>
      </c>
      <c r="F4" s="542" t="s">
        <v>523</v>
      </c>
      <c r="G4" s="543" t="s">
        <v>560</v>
      </c>
      <c r="H4" s="542" t="s">
        <v>539</v>
      </c>
      <c r="I4" s="542" t="s">
        <v>527</v>
      </c>
      <c r="J4" s="542" t="s">
        <v>528</v>
      </c>
      <c r="K4" s="544" t="s">
        <v>529</v>
      </c>
      <c r="L4" s="151"/>
      <c r="M4" s="151"/>
      <c r="N4" s="545" t="s">
        <v>166</v>
      </c>
      <c r="O4" s="151">
        <f>Q3*Q1</f>
        <v>3.22</v>
      </c>
      <c r="P4" s="151" t="s">
        <v>167</v>
      </c>
      <c r="Q4" s="151"/>
    </row>
    <row r="5" spans="1:17" ht="15.75" thickBot="1">
      <c r="A5" s="1174"/>
      <c r="B5" s="1175"/>
      <c r="C5" s="1175"/>
      <c r="D5" s="1175"/>
      <c r="E5" s="1175"/>
      <c r="F5" s="1175"/>
      <c r="G5" s="1175"/>
      <c r="H5" s="1175"/>
      <c r="I5" s="1175"/>
      <c r="J5" s="1175"/>
      <c r="K5" s="1176"/>
      <c r="L5" s="151" t="s">
        <v>155</v>
      </c>
      <c r="M5" s="151">
        <v>80.180000000000007</v>
      </c>
      <c r="N5" s="151" t="s">
        <v>164</v>
      </c>
      <c r="O5" s="447"/>
      <c r="P5" s="151"/>
      <c r="Q5" s="151"/>
    </row>
    <row r="6" spans="1:17" ht="15">
      <c r="A6" s="546" t="s">
        <v>143</v>
      </c>
      <c r="B6" s="547">
        <v>31</v>
      </c>
      <c r="C6" s="547">
        <v>0.4</v>
      </c>
      <c r="D6" s="548">
        <f t="shared" ref="D6:D15" si="0">B6*C6/1000</f>
        <v>1.24E-2</v>
      </c>
      <c r="E6" s="548" t="s">
        <v>108</v>
      </c>
      <c r="F6" s="1204" t="s">
        <v>524</v>
      </c>
      <c r="G6" s="549">
        <v>1</v>
      </c>
      <c r="H6" s="548">
        <f t="shared" ref="H6:H15" si="1">D6*7/G6</f>
        <v>8.6800000000000002E-2</v>
      </c>
      <c r="I6" s="1211">
        <f>SUM(M5:M9)</f>
        <v>192.49</v>
      </c>
      <c r="J6" s="550">
        <f>TRUNC((547.6627+223.0718+240.9943+414.087+157.385)/1000,2)</f>
        <v>1.58</v>
      </c>
      <c r="K6" s="1199">
        <f>TRUNC(SUM(I6:J9)*semanas_mês,2)</f>
        <v>904.4</v>
      </c>
      <c r="L6" s="151" t="s">
        <v>156</v>
      </c>
      <c r="M6" s="151">
        <f>19.98</f>
        <v>19.98</v>
      </c>
      <c r="N6" s="151" t="s">
        <v>164</v>
      </c>
      <c r="O6" s="1100">
        <f>SUM(D6:D9)*7</f>
        <v>0.82040000000000002</v>
      </c>
      <c r="P6" s="1054">
        <f>O6/O4</f>
        <v>0.25478260869565217</v>
      </c>
      <c r="Q6" s="151">
        <f t="shared" ref="Q6:Q15" si="2">J6*0.167</f>
        <v>0.26386000000000004</v>
      </c>
    </row>
    <row r="7" spans="1:17" ht="15">
      <c r="A7" s="551" t="s">
        <v>144</v>
      </c>
      <c r="B7" s="552">
        <v>83</v>
      </c>
      <c r="C7" s="552">
        <v>0.4</v>
      </c>
      <c r="D7" s="553">
        <f t="shared" si="0"/>
        <v>3.32E-2</v>
      </c>
      <c r="E7" s="553" t="s">
        <v>108</v>
      </c>
      <c r="F7" s="1205"/>
      <c r="G7" s="554">
        <v>1</v>
      </c>
      <c r="H7" s="553">
        <f t="shared" si="1"/>
        <v>0.2324</v>
      </c>
      <c r="I7" s="1212"/>
      <c r="J7" s="555">
        <f>TRUNC((329.6749+392.6611+208.6037+324.8778+388.453+231.9752+117.4735+72.6076+98.4556+79.2825+238.4797+476.158+244.5891+274.0927+178.2414+60.5258+66.9605+112.698+66.393+99.6856+65.4951+128.9849+293.0068+84.8813+87.8758+77.2199+57.0675+220.6685+125.9145+44.9712+70.7343+109.6574+63.3961+78.5337+153.3861+299.3046+318.6273+202.0771+40.9296+103.9526+256.0989+234.9524+210.1928+126.7382+63.3768+52.2965+95.3354+120.5837+346.2703+58.3662+42.739+229.2822+157.4954+65.0551+47.2989+51.8752+43.1557+38.5234+39.1667)/1000,2)</f>
        <v>8.9600000000000009</v>
      </c>
      <c r="K7" s="1200"/>
      <c r="L7" s="151" t="s">
        <v>152</v>
      </c>
      <c r="M7" s="151">
        <v>26.67</v>
      </c>
      <c r="N7" s="151" t="s">
        <v>164</v>
      </c>
      <c r="O7" s="1100"/>
      <c r="P7" s="1054"/>
      <c r="Q7" s="151">
        <f t="shared" si="2"/>
        <v>1.4963200000000003</v>
      </c>
    </row>
    <row r="8" spans="1:17" ht="15">
      <c r="A8" s="551" t="s">
        <v>145</v>
      </c>
      <c r="B8" s="552">
        <v>94</v>
      </c>
      <c r="C8" s="552">
        <v>0.4</v>
      </c>
      <c r="D8" s="553">
        <f t="shared" si="0"/>
        <v>3.7600000000000001E-2</v>
      </c>
      <c r="E8" s="553" t="s">
        <v>108</v>
      </c>
      <c r="F8" s="1205"/>
      <c r="G8" s="554">
        <v>1</v>
      </c>
      <c r="H8" s="553">
        <f t="shared" si="1"/>
        <v>0.26319999999999999</v>
      </c>
      <c r="I8" s="1212"/>
      <c r="J8" s="555">
        <f>TRUNC((178.5954+159.9049+179.9325+349.6126+421.7382+63.9757+77.0302+208.4208+282.3724+75.6872+160.2682+141.1358+241.7195+62.5761+65.8518+147.8132+63.6465+71.7555+72.2875+165.698+161.2041+104.3407+80.1953+334.4507)/1000,2)</f>
        <v>3.87</v>
      </c>
      <c r="K8" s="1200"/>
      <c r="L8" s="151" t="s">
        <v>153</v>
      </c>
      <c r="M8" s="151">
        <v>21.17</v>
      </c>
      <c r="N8" s="151" t="s">
        <v>164</v>
      </c>
      <c r="O8" s="1100"/>
      <c r="P8" s="1054"/>
      <c r="Q8" s="151">
        <f t="shared" si="2"/>
        <v>0.64629000000000003</v>
      </c>
    </row>
    <row r="9" spans="1:17" ht="15.75" thickBot="1">
      <c r="A9" s="556" t="s">
        <v>146</v>
      </c>
      <c r="B9" s="557">
        <v>85</v>
      </c>
      <c r="C9" s="557">
        <v>0.4</v>
      </c>
      <c r="D9" s="558">
        <f t="shared" si="0"/>
        <v>3.4000000000000002E-2</v>
      </c>
      <c r="E9" s="558" t="s">
        <v>108</v>
      </c>
      <c r="F9" s="1206"/>
      <c r="G9" s="559">
        <v>1</v>
      </c>
      <c r="H9" s="558">
        <f t="shared" si="1"/>
        <v>0.23800000000000002</v>
      </c>
      <c r="I9" s="1213"/>
      <c r="J9" s="560">
        <f>TRUNC((384+456+404)/1000,2)</f>
        <v>1.24</v>
      </c>
      <c r="K9" s="1201"/>
      <c r="L9" s="151" t="s">
        <v>154</v>
      </c>
      <c r="M9" s="151">
        <v>44.49</v>
      </c>
      <c r="N9" s="151" t="s">
        <v>164</v>
      </c>
      <c r="O9" s="1100"/>
      <c r="P9" s="1054"/>
      <c r="Q9" s="151">
        <f t="shared" si="2"/>
        <v>0.20708000000000001</v>
      </c>
    </row>
    <row r="10" spans="1:17" ht="15.75" thickBot="1">
      <c r="A10" s="561" t="s">
        <v>157</v>
      </c>
      <c r="B10" s="562">
        <v>430</v>
      </c>
      <c r="C10" s="563">
        <v>0.4</v>
      </c>
      <c r="D10" s="564">
        <f t="shared" si="0"/>
        <v>0.17199999999999999</v>
      </c>
      <c r="E10" s="564" t="s">
        <v>108</v>
      </c>
      <c r="F10" s="564" t="s">
        <v>525</v>
      </c>
      <c r="G10" s="565">
        <v>1</v>
      </c>
      <c r="H10" s="564">
        <f t="shared" si="1"/>
        <v>1.204</v>
      </c>
      <c r="I10" s="566">
        <f>M10</f>
        <v>62.48</v>
      </c>
      <c r="J10" s="567">
        <f>TRUNC((167.0977+190.6254+67.3808+355.8516+180.9915+341.6387+138.3613+114.2328+136.241+63.7545+79.9805+117.4679+31.5908)/1000,2)</f>
        <v>1.98</v>
      </c>
      <c r="K10" s="568">
        <f>TRUNC((I10+J10)*semanas_mês,2)</f>
        <v>280.08999999999997</v>
      </c>
      <c r="L10" s="151" t="s">
        <v>158</v>
      </c>
      <c r="M10" s="151">
        <f>31.24*2</f>
        <v>62.48</v>
      </c>
      <c r="N10" s="151" t="s">
        <v>164</v>
      </c>
      <c r="O10" s="447">
        <f>D10*7</f>
        <v>1.204</v>
      </c>
      <c r="P10" s="151">
        <f>O10/O4</f>
        <v>0.37391304347826082</v>
      </c>
      <c r="Q10" s="151">
        <f t="shared" si="2"/>
        <v>0.33066000000000001</v>
      </c>
    </row>
    <row r="11" spans="1:17" s="93" customFormat="1" ht="15">
      <c r="A11" s="546" t="s">
        <v>148</v>
      </c>
      <c r="B11" s="547">
        <v>248</v>
      </c>
      <c r="C11" s="547">
        <v>0.4</v>
      </c>
      <c r="D11" s="548">
        <f t="shared" si="0"/>
        <v>9.9199999999999997E-2</v>
      </c>
      <c r="E11" s="548" t="s">
        <v>108</v>
      </c>
      <c r="F11" s="1204" t="s">
        <v>538</v>
      </c>
      <c r="G11" s="549">
        <v>1</v>
      </c>
      <c r="H11" s="548">
        <f t="shared" si="1"/>
        <v>0.69440000000000002</v>
      </c>
      <c r="I11" s="1209">
        <f>M11+M12+M13</f>
        <v>158.70999999999998</v>
      </c>
      <c r="J11" s="550">
        <f>TRUNC((504.365+510.995+148.9538+310.5371+573.9657+478.6505+132.0523+203.2416+342.6082+124.4692+165.6518+315.0874+81.3539+418.8149+137.3156+170.3001)/1000,2)</f>
        <v>4.6100000000000003</v>
      </c>
      <c r="K11" s="1199">
        <f>TRUNC((I11+J11+J12)*semanas_mês,2)</f>
        <v>721.43</v>
      </c>
      <c r="L11" s="151" t="s">
        <v>160</v>
      </c>
      <c r="M11" s="151">
        <f>43.96</f>
        <v>43.96</v>
      </c>
      <c r="N11" s="151" t="s">
        <v>164</v>
      </c>
      <c r="O11" s="1100">
        <f>SUM(D11:D12)*7</f>
        <v>0.97439999999999993</v>
      </c>
      <c r="P11" s="1054">
        <f>O11/O4</f>
        <v>0.30260869565217385</v>
      </c>
      <c r="Q11" s="151">
        <f t="shared" si="2"/>
        <v>0.76987000000000005</v>
      </c>
    </row>
    <row r="12" spans="1:17" s="93" customFormat="1" ht="15.75" thickBot="1">
      <c r="A12" s="556" t="s">
        <v>149</v>
      </c>
      <c r="B12" s="557">
        <v>100</v>
      </c>
      <c r="C12" s="557">
        <v>0.4</v>
      </c>
      <c r="D12" s="558">
        <f t="shared" si="0"/>
        <v>0.04</v>
      </c>
      <c r="E12" s="558" t="s">
        <v>108</v>
      </c>
      <c r="F12" s="1206"/>
      <c r="G12" s="559">
        <v>1</v>
      </c>
      <c r="H12" s="558">
        <f t="shared" si="1"/>
        <v>0.28000000000000003</v>
      </c>
      <c r="I12" s="1210"/>
      <c r="J12" s="569">
        <f>TRUNC((64.9874+120.7614+77.1486+54.87+348.6535+328.0929+158.4423+80.0037+415.7722+64.6138+75.4928+110.2133+28.5372+41.7308+99.5867+21.3343+217.9852+115.9394+172.6268+121.2654)/1000,2)</f>
        <v>2.71</v>
      </c>
      <c r="K12" s="1201">
        <f>J12*semanas_mês*G12</f>
        <v>11.775492</v>
      </c>
      <c r="L12" s="151" t="s">
        <v>161</v>
      </c>
      <c r="M12" s="151">
        <v>46.11</v>
      </c>
      <c r="N12" s="151" t="s">
        <v>164</v>
      </c>
      <c r="O12" s="1100"/>
      <c r="P12" s="1054"/>
      <c r="Q12" s="151">
        <f t="shared" si="2"/>
        <v>0.45257000000000003</v>
      </c>
    </row>
    <row r="13" spans="1:17" ht="15">
      <c r="A13" s="570" t="s">
        <v>150</v>
      </c>
      <c r="B13" s="571">
        <v>124</v>
      </c>
      <c r="C13" s="571">
        <v>0.4</v>
      </c>
      <c r="D13" s="572">
        <f t="shared" si="0"/>
        <v>4.9599999999999998E-2</v>
      </c>
      <c r="E13" s="572" t="s">
        <v>108</v>
      </c>
      <c r="F13" s="1207" t="s">
        <v>536</v>
      </c>
      <c r="G13" s="573">
        <v>1</v>
      </c>
      <c r="H13" s="572">
        <f t="shared" si="1"/>
        <v>0.34720000000000001</v>
      </c>
      <c r="I13" s="1214">
        <f>M14</f>
        <v>143.78</v>
      </c>
      <c r="J13" s="574">
        <f>TRUNC((487.1874+353.8255+502.6481+107.38+155.2264+112.4069+122.5249+203.1734+151.4924)/1000,2)</f>
        <v>2.19</v>
      </c>
      <c r="K13" s="1202">
        <f>TRUNC((I13+J13+J14)*semanas_mês,2)</f>
        <v>673.76</v>
      </c>
      <c r="L13" s="151" t="s">
        <v>162</v>
      </c>
      <c r="M13" s="151">
        <v>68.64</v>
      </c>
      <c r="N13" s="151" t="s">
        <v>164</v>
      </c>
      <c r="O13" s="1100">
        <f>SUM(D13:D14)*7</f>
        <v>2.1588000000000003</v>
      </c>
      <c r="P13" s="1054">
        <f>O13/O4</f>
        <v>0.67043478260869571</v>
      </c>
      <c r="Q13" s="151">
        <f t="shared" si="2"/>
        <v>0.36573</v>
      </c>
    </row>
    <row r="14" spans="1:17" ht="14.45" customHeight="1" thickBot="1">
      <c r="A14" s="575" t="s">
        <v>151</v>
      </c>
      <c r="B14" s="576">
        <v>647</v>
      </c>
      <c r="C14" s="576">
        <v>0.4</v>
      </c>
      <c r="D14" s="577">
        <f t="shared" si="0"/>
        <v>0.25880000000000003</v>
      </c>
      <c r="E14" s="577" t="s">
        <v>108</v>
      </c>
      <c r="F14" s="1208"/>
      <c r="G14" s="578">
        <v>1</v>
      </c>
      <c r="H14" s="577">
        <f t="shared" si="1"/>
        <v>1.8116000000000003</v>
      </c>
      <c r="I14" s="1215"/>
      <c r="J14" s="579">
        <f>TRUNC((224.8165+486.3327+251.6525+36.3866+68.3089+74.038+105.2744+146.7199+74.6157+65.4778+957.4031+265.401+288.0416+105.3378+92.0102+43.1801+75.8472+213.7011+56.7179+181.7461+52.9357+128.6892+114.2373+33.0413+141.5667+110.5129+109.0364+97.0936+109.0509+108.4644+1034.6661+158.7025+213.3771+122.269+411.3006+346.3247+340.857+43.6749+230.5576+41.538+364.6587+274.4067+216.1214+311.5316+172.0288)/1000,2)</f>
        <v>9.09</v>
      </c>
      <c r="K14" s="1203">
        <f>J14*semanas_mês*G14</f>
        <v>39.497868000000004</v>
      </c>
      <c r="L14" s="151" t="s">
        <v>163</v>
      </c>
      <c r="M14" s="151">
        <f>71.89*2</f>
        <v>143.78</v>
      </c>
      <c r="N14" s="151" t="s">
        <v>164</v>
      </c>
      <c r="O14" s="1100"/>
      <c r="P14" s="1054"/>
      <c r="Q14" s="151">
        <f t="shared" si="2"/>
        <v>1.51803</v>
      </c>
    </row>
    <row r="15" spans="1:17" ht="15.75" thickBot="1">
      <c r="A15" s="580" t="s">
        <v>147</v>
      </c>
      <c r="B15" s="581">
        <v>60</v>
      </c>
      <c r="C15" s="581">
        <v>0.4</v>
      </c>
      <c r="D15" s="582">
        <f t="shared" si="0"/>
        <v>2.4E-2</v>
      </c>
      <c r="E15" s="582" t="s">
        <v>108</v>
      </c>
      <c r="F15" s="582" t="s">
        <v>537</v>
      </c>
      <c r="G15" s="583">
        <v>1</v>
      </c>
      <c r="H15" s="582">
        <f t="shared" si="1"/>
        <v>0.16800000000000001</v>
      </c>
      <c r="I15" s="584">
        <f>M15</f>
        <v>30.54</v>
      </c>
      <c r="J15" s="585">
        <f>TRUNC((368.9502+438.3344+577.5558+73.4363+92.2362)/1000,2)</f>
        <v>1.55</v>
      </c>
      <c r="K15" s="586">
        <f>TRUNC((I15+J15)*semanas_mês,2)</f>
        <v>139.43</v>
      </c>
      <c r="L15" s="151" t="s">
        <v>159</v>
      </c>
      <c r="M15" s="151">
        <f>15.27*2</f>
        <v>30.54</v>
      </c>
      <c r="N15" s="151" t="s">
        <v>164</v>
      </c>
      <c r="O15" s="447">
        <f>D15*7</f>
        <v>0.16800000000000001</v>
      </c>
      <c r="P15" s="151">
        <f>O15/O4</f>
        <v>5.2173913043478258E-2</v>
      </c>
      <c r="Q15" s="151">
        <f t="shared" si="2"/>
        <v>0.25885000000000002</v>
      </c>
    </row>
    <row r="16" spans="1:17" ht="15" customHeight="1" thickBot="1">
      <c r="A16" s="222"/>
      <c r="B16" s="587"/>
      <c r="C16" s="587"/>
      <c r="D16" s="587"/>
      <c r="E16" s="587"/>
      <c r="F16" s="587"/>
      <c r="G16" s="587"/>
      <c r="H16" s="588">
        <f>SUM(H6:H15)</f>
        <v>5.3256000000000006</v>
      </c>
      <c r="I16" s="587">
        <f>SUM(I6:I15)</f>
        <v>587.99999999999989</v>
      </c>
      <c r="J16" s="588">
        <f>SUM(J6:J15)</f>
        <v>37.78</v>
      </c>
      <c r="K16" s="587"/>
      <c r="L16" s="589"/>
      <c r="M16" s="151"/>
      <c r="N16" s="151"/>
      <c r="O16" s="151"/>
      <c r="P16" s="151"/>
      <c r="Q16" s="151"/>
    </row>
    <row r="17" spans="1:17" ht="15.75" thickBot="1">
      <c r="A17" s="1177" t="s">
        <v>530</v>
      </c>
      <c r="B17" s="1178"/>
      <c r="C17" s="1178"/>
      <c r="D17" s="1178"/>
      <c r="E17" s="1178"/>
      <c r="F17" s="1178"/>
      <c r="G17" s="1178"/>
      <c r="H17" s="1178"/>
      <c r="I17" s="590"/>
      <c r="J17" s="590"/>
      <c r="K17" s="591">
        <f>TRUNC(SUM(K6:K15),2)</f>
        <v>2770.38</v>
      </c>
      <c r="L17" s="536"/>
      <c r="M17" s="536"/>
      <c r="N17" s="536"/>
      <c r="O17" s="151"/>
      <c r="P17" s="151"/>
      <c r="Q17" s="151"/>
    </row>
    <row r="18" spans="1:17" ht="15.75" thickBot="1">
      <c r="A18" s="592"/>
      <c r="B18" s="587"/>
      <c r="C18" s="587"/>
      <c r="D18" s="593"/>
      <c r="E18" s="594"/>
      <c r="F18" s="587"/>
      <c r="G18" s="587"/>
      <c r="H18" s="595"/>
      <c r="I18" s="1194"/>
      <c r="J18" s="1194"/>
      <c r="K18" s="596"/>
      <c r="L18" s="536"/>
      <c r="M18" s="536"/>
      <c r="N18" s="536"/>
      <c r="O18" s="151"/>
      <c r="P18" s="151"/>
      <c r="Q18" s="151"/>
    </row>
    <row r="19" spans="1:17" s="93" customFormat="1" ht="21.75" thickBot="1">
      <c r="A19" s="1195" t="s">
        <v>490</v>
      </c>
      <c r="B19" s="1196"/>
      <c r="C19" s="1196"/>
      <c r="D19" s="1196"/>
      <c r="E19" s="1196"/>
      <c r="F19" s="1196"/>
      <c r="G19" s="1196"/>
      <c r="H19" s="1196"/>
      <c r="I19" s="1196"/>
      <c r="J19" s="1196"/>
      <c r="K19" s="1197"/>
      <c r="L19" s="536"/>
      <c r="M19" s="536"/>
      <c r="N19" s="536"/>
      <c r="O19" s="151"/>
      <c r="P19" s="151"/>
      <c r="Q19" s="151"/>
    </row>
    <row r="20" spans="1:17" s="93" customFormat="1" ht="16.5" thickBot="1">
      <c r="A20" s="1184" t="s">
        <v>416</v>
      </c>
      <c r="B20" s="1185"/>
      <c r="C20" s="1186"/>
      <c r="D20" s="452" t="s">
        <v>417</v>
      </c>
      <c r="E20" s="452" t="s">
        <v>10</v>
      </c>
      <c r="F20" s="1187" t="s">
        <v>418</v>
      </c>
      <c r="G20" s="1187"/>
      <c r="H20" s="1187"/>
      <c r="I20" s="1187"/>
      <c r="J20" s="1187"/>
      <c r="K20" s="1188"/>
      <c r="L20" s="536"/>
      <c r="M20" s="536"/>
      <c r="N20" s="536"/>
      <c r="O20" s="151"/>
      <c r="P20" s="151"/>
      <c r="Q20" s="151"/>
    </row>
    <row r="21" spans="1:17" s="93" customFormat="1" ht="15">
      <c r="A21" s="1189" t="s">
        <v>516</v>
      </c>
      <c r="B21" s="1190"/>
      <c r="C21" s="1191"/>
      <c r="D21" s="316">
        <v>19192</v>
      </c>
      <c r="E21" s="449" t="s">
        <v>1</v>
      </c>
      <c r="F21" s="1192" t="s">
        <v>419</v>
      </c>
      <c r="G21" s="1190"/>
      <c r="H21" s="1190"/>
      <c r="I21" s="1190"/>
      <c r="J21" s="1190"/>
      <c r="K21" s="1193"/>
      <c r="L21" s="536"/>
      <c r="M21" s="536"/>
      <c r="N21" s="536"/>
      <c r="O21" s="151"/>
      <c r="P21" s="151"/>
      <c r="Q21" s="151"/>
    </row>
    <row r="22" spans="1:17" s="93" customFormat="1" ht="15">
      <c r="A22" s="1179" t="s">
        <v>556</v>
      </c>
      <c r="B22" s="1140"/>
      <c r="C22" s="1180"/>
      <c r="D22" s="317">
        <f>SUM(B6:B15)</f>
        <v>1902</v>
      </c>
      <c r="E22" s="450" t="s">
        <v>1</v>
      </c>
      <c r="F22" s="1139" t="s">
        <v>555</v>
      </c>
      <c r="G22" s="1140"/>
      <c r="H22" s="1140"/>
      <c r="I22" s="1140"/>
      <c r="J22" s="1140"/>
      <c r="K22" s="1141"/>
      <c r="L22" s="536"/>
      <c r="M22" s="536"/>
      <c r="N22" s="536"/>
      <c r="O22" s="151"/>
      <c r="P22" s="151"/>
      <c r="Q22" s="151"/>
    </row>
    <row r="23" spans="1:17" s="93" customFormat="1" ht="15">
      <c r="A23" s="1179" t="s">
        <v>441</v>
      </c>
      <c r="B23" s="1140"/>
      <c r="C23" s="1180"/>
      <c r="D23" s="203">
        <v>0.4</v>
      </c>
      <c r="E23" s="450" t="s">
        <v>533</v>
      </c>
      <c r="F23" s="1163" t="s">
        <v>534</v>
      </c>
      <c r="G23" s="1164"/>
      <c r="H23" s="1164"/>
      <c r="I23" s="1164"/>
      <c r="J23" s="1164"/>
      <c r="K23" s="1165"/>
      <c r="L23" s="536"/>
      <c r="M23" s="536"/>
      <c r="N23" s="536"/>
      <c r="O23" s="151"/>
      <c r="P23" s="151"/>
      <c r="Q23" s="151"/>
    </row>
    <row r="24" spans="1:17" s="93" customFormat="1" ht="15">
      <c r="A24" s="1179" t="s">
        <v>449</v>
      </c>
      <c r="B24" s="1140"/>
      <c r="C24" s="1180"/>
      <c r="D24" s="321" t="s">
        <v>520</v>
      </c>
      <c r="E24" s="450" t="s">
        <v>212</v>
      </c>
      <c r="F24" s="1139" t="s">
        <v>522</v>
      </c>
      <c r="G24" s="1140"/>
      <c r="H24" s="1140"/>
      <c r="I24" s="1140"/>
      <c r="J24" s="1140"/>
      <c r="K24" s="1141"/>
      <c r="L24" s="536"/>
      <c r="M24" s="536"/>
      <c r="N24" s="536"/>
      <c r="O24" s="151"/>
      <c r="P24" s="151"/>
      <c r="Q24" s="151"/>
    </row>
    <row r="25" spans="1:17" s="93" customFormat="1" ht="15">
      <c r="A25" s="1179" t="s">
        <v>562</v>
      </c>
      <c r="B25" s="1140"/>
      <c r="C25" s="1180"/>
      <c r="D25" s="321" t="s">
        <v>520</v>
      </c>
      <c r="E25" s="450" t="s">
        <v>559</v>
      </c>
      <c r="F25" s="1139" t="s">
        <v>561</v>
      </c>
      <c r="G25" s="1140"/>
      <c r="H25" s="1140"/>
      <c r="I25" s="1140"/>
      <c r="J25" s="1140"/>
      <c r="K25" s="1141"/>
      <c r="L25" s="536"/>
      <c r="M25" s="536"/>
      <c r="N25" s="536"/>
      <c r="O25" s="151"/>
      <c r="P25" s="151"/>
      <c r="Q25" s="151"/>
    </row>
    <row r="26" spans="1:17" s="93" customFormat="1" ht="15">
      <c r="A26" s="1179" t="s">
        <v>541</v>
      </c>
      <c r="B26" s="1140"/>
      <c r="C26" s="1180"/>
      <c r="D26" s="203">
        <f>TRUNC(D23*D22*30.42/1000,2)</f>
        <v>23.14</v>
      </c>
      <c r="E26" s="450" t="s">
        <v>5</v>
      </c>
      <c r="F26" s="1139" t="s">
        <v>439</v>
      </c>
      <c r="G26" s="1140"/>
      <c r="H26" s="1140"/>
      <c r="I26" s="1140"/>
      <c r="J26" s="1140"/>
      <c r="K26" s="1141"/>
      <c r="L26" s="536"/>
      <c r="M26" s="536"/>
      <c r="N26" s="536"/>
      <c r="O26" s="151"/>
      <c r="P26" s="151"/>
      <c r="Q26" s="151"/>
    </row>
    <row r="27" spans="1:17" s="93" customFormat="1" ht="15">
      <c r="A27" s="1179" t="s">
        <v>444</v>
      </c>
      <c r="B27" s="1140"/>
      <c r="C27" s="1180"/>
      <c r="D27" s="203">
        <f>K17</f>
        <v>2770.38</v>
      </c>
      <c r="E27" s="277" t="s">
        <v>9</v>
      </c>
      <c r="F27" s="1142" t="s">
        <v>557</v>
      </c>
      <c r="G27" s="1143"/>
      <c r="H27" s="1143"/>
      <c r="I27" s="1143"/>
      <c r="J27" s="1143"/>
      <c r="K27" s="1144"/>
      <c r="L27" s="536"/>
      <c r="M27" s="536"/>
      <c r="N27" s="536"/>
      <c r="O27" s="151"/>
      <c r="P27" s="151"/>
      <c r="Q27" s="151"/>
    </row>
    <row r="28" spans="1:17" s="93" customFormat="1" ht="15">
      <c r="A28" s="1179" t="s">
        <v>431</v>
      </c>
      <c r="B28" s="1140"/>
      <c r="C28" s="1180"/>
      <c r="D28" s="319">
        <v>14</v>
      </c>
      <c r="E28" s="277" t="s">
        <v>11</v>
      </c>
      <c r="F28" s="1154" t="s">
        <v>16</v>
      </c>
      <c r="G28" s="1155"/>
      <c r="H28" s="1155"/>
      <c r="I28" s="1155"/>
      <c r="J28" s="1155"/>
      <c r="K28" s="1156"/>
      <c r="L28" s="536"/>
      <c r="M28" s="536"/>
      <c r="N28" s="536"/>
      <c r="O28" s="151"/>
      <c r="P28" s="151"/>
      <c r="Q28" s="151"/>
    </row>
    <row r="29" spans="1:17" s="93" customFormat="1" ht="23.25" customHeight="1">
      <c r="A29" s="1179" t="s">
        <v>432</v>
      </c>
      <c r="B29" s="1140"/>
      <c r="C29" s="1180"/>
      <c r="D29" s="203">
        <f>'INF. BÁSICAS'!B12</f>
        <v>0.23</v>
      </c>
      <c r="E29" s="277" t="s">
        <v>12</v>
      </c>
      <c r="F29" s="1154" t="s">
        <v>436</v>
      </c>
      <c r="G29" s="1155"/>
      <c r="H29" s="1155"/>
      <c r="I29" s="1155"/>
      <c r="J29" s="1155"/>
      <c r="K29" s="1156"/>
      <c r="L29" s="536"/>
      <c r="M29" s="536"/>
      <c r="N29" s="536"/>
      <c r="O29" s="151"/>
      <c r="P29" s="151"/>
      <c r="Q29" s="151"/>
    </row>
    <row r="30" spans="1:17" s="93" customFormat="1" ht="15">
      <c r="A30" s="1179" t="s">
        <v>447</v>
      </c>
      <c r="B30" s="1140"/>
      <c r="C30" s="1180"/>
      <c r="D30" s="320">
        <v>0.73</v>
      </c>
      <c r="E30" s="277" t="s">
        <v>330</v>
      </c>
      <c r="F30" s="1142" t="s">
        <v>513</v>
      </c>
      <c r="G30" s="1143"/>
      <c r="H30" s="1143"/>
      <c r="I30" s="1143"/>
      <c r="J30" s="1143"/>
      <c r="K30" s="1144"/>
      <c r="L30" s="536"/>
      <c r="M30" s="536"/>
      <c r="N30" s="536"/>
      <c r="O30" s="151"/>
      <c r="P30" s="151"/>
      <c r="Q30" s="151"/>
    </row>
    <row r="31" spans="1:17" s="93" customFormat="1" ht="15">
      <c r="A31" s="1179" t="s">
        <v>433</v>
      </c>
      <c r="B31" s="1140"/>
      <c r="C31" s="1180"/>
      <c r="D31" s="270">
        <v>1</v>
      </c>
      <c r="E31" s="277" t="s">
        <v>16</v>
      </c>
      <c r="F31" s="1154" t="s">
        <v>512</v>
      </c>
      <c r="G31" s="1143"/>
      <c r="H31" s="1143"/>
      <c r="I31" s="1143"/>
      <c r="J31" s="1143"/>
      <c r="K31" s="1144"/>
      <c r="L31" s="536"/>
      <c r="M31" s="536"/>
      <c r="N31" s="536"/>
      <c r="O31" s="151"/>
      <c r="P31" s="151"/>
      <c r="Q31" s="151"/>
    </row>
    <row r="32" spans="1:17" s="93" customFormat="1" ht="15">
      <c r="A32" s="1179" t="s">
        <v>450</v>
      </c>
      <c r="B32" s="1140"/>
      <c r="C32" s="1180"/>
      <c r="D32" s="203">
        <f>D28*D29*D30*D31</f>
        <v>2.3506</v>
      </c>
      <c r="E32" s="277" t="s">
        <v>13</v>
      </c>
      <c r="F32" s="1142" t="s">
        <v>448</v>
      </c>
      <c r="G32" s="1143"/>
      <c r="H32" s="1143"/>
      <c r="I32" s="1143"/>
      <c r="J32" s="1143"/>
      <c r="K32" s="1144"/>
      <c r="L32" s="536"/>
      <c r="M32" s="536"/>
      <c r="N32" s="536"/>
      <c r="O32" s="151"/>
      <c r="P32" s="151"/>
      <c r="Q32" s="151"/>
    </row>
    <row r="33" spans="1:17" s="93" customFormat="1" ht="15">
      <c r="A33" s="1179" t="s">
        <v>521</v>
      </c>
      <c r="B33" s="1140"/>
      <c r="C33" s="1180"/>
      <c r="D33" s="321">
        <f>K17</f>
        <v>2770.38</v>
      </c>
      <c r="E33" s="278" t="s">
        <v>9</v>
      </c>
      <c r="F33" s="1145" t="s">
        <v>453</v>
      </c>
      <c r="G33" s="1146"/>
      <c r="H33" s="1146"/>
      <c r="I33" s="1146"/>
      <c r="J33" s="1146"/>
      <c r="K33" s="1147"/>
      <c r="L33" s="536"/>
      <c r="M33" s="536"/>
      <c r="N33" s="536"/>
      <c r="O33" s="151"/>
      <c r="P33" s="151"/>
      <c r="Q33" s="151"/>
    </row>
    <row r="34" spans="1:17" s="93" customFormat="1" ht="15">
      <c r="A34" s="1148"/>
      <c r="B34" s="1149"/>
      <c r="C34" s="1149"/>
      <c r="D34" s="1149"/>
      <c r="E34" s="1149"/>
      <c r="F34" s="1149"/>
      <c r="G34" s="1149"/>
      <c r="H34" s="1149"/>
      <c r="I34" s="1149"/>
      <c r="J34" s="1149"/>
      <c r="K34" s="1150"/>
      <c r="L34" s="536"/>
      <c r="M34" s="536"/>
      <c r="N34" s="536"/>
      <c r="O34" s="151"/>
      <c r="P34" s="151"/>
      <c r="Q34" s="151"/>
    </row>
    <row r="35" spans="1:17" s="93" customFormat="1" ht="15.75">
      <c r="A35" s="1151" t="s">
        <v>563</v>
      </c>
      <c r="B35" s="1152"/>
      <c r="C35" s="1152"/>
      <c r="D35" s="1152"/>
      <c r="E35" s="1152"/>
      <c r="F35" s="1152"/>
      <c r="G35" s="1152"/>
      <c r="H35" s="1152"/>
      <c r="I35" s="1152"/>
      <c r="J35" s="1152"/>
      <c r="K35" s="1153"/>
      <c r="L35" s="536"/>
      <c r="M35" s="536"/>
      <c r="N35" s="536"/>
      <c r="O35" s="151"/>
      <c r="P35" s="151"/>
      <c r="Q35" s="151"/>
    </row>
    <row r="36" spans="1:17" s="93" customFormat="1" ht="15">
      <c r="A36" s="1179" t="s">
        <v>412</v>
      </c>
      <c r="B36" s="1140"/>
      <c r="C36" s="1180"/>
      <c r="D36" s="205">
        <v>1</v>
      </c>
      <c r="E36" s="277" t="s">
        <v>10</v>
      </c>
      <c r="F36" s="1145" t="s">
        <v>558</v>
      </c>
      <c r="G36" s="1146"/>
      <c r="H36" s="1146"/>
      <c r="I36" s="1146"/>
      <c r="J36" s="1146"/>
      <c r="K36" s="1147"/>
      <c r="L36" s="536"/>
      <c r="M36" s="536"/>
      <c r="N36" s="536"/>
      <c r="O36" s="151"/>
      <c r="P36" s="151"/>
      <c r="Q36" s="151"/>
    </row>
    <row r="37" spans="1:17" s="93" customFormat="1" ht="15">
      <c r="A37" s="1179" t="s">
        <v>413</v>
      </c>
      <c r="B37" s="1140"/>
      <c r="C37" s="1180"/>
      <c r="D37" s="205">
        <v>1</v>
      </c>
      <c r="E37" s="277" t="s">
        <v>10</v>
      </c>
      <c r="F37" s="1145" t="s">
        <v>514</v>
      </c>
      <c r="G37" s="1146"/>
      <c r="H37" s="1146"/>
      <c r="I37" s="1146"/>
      <c r="J37" s="1146"/>
      <c r="K37" s="1147"/>
      <c r="L37" s="536"/>
      <c r="M37" s="536"/>
      <c r="N37" s="536"/>
      <c r="O37" s="151"/>
      <c r="P37" s="151"/>
      <c r="Q37" s="151"/>
    </row>
    <row r="38" spans="1:17" s="93" customFormat="1" ht="15">
      <c r="A38" s="1179" t="s">
        <v>414</v>
      </c>
      <c r="B38" s="1140"/>
      <c r="C38" s="1180"/>
      <c r="D38" s="205">
        <v>2</v>
      </c>
      <c r="E38" s="277" t="s">
        <v>10</v>
      </c>
      <c r="F38" s="1145" t="s">
        <v>518</v>
      </c>
      <c r="G38" s="1146"/>
      <c r="H38" s="1146"/>
      <c r="I38" s="1146"/>
      <c r="J38" s="1146"/>
      <c r="K38" s="1147"/>
      <c r="L38" s="536"/>
      <c r="M38" s="536"/>
      <c r="N38" s="536"/>
      <c r="O38" s="151"/>
      <c r="P38" s="151"/>
      <c r="Q38" s="151"/>
    </row>
    <row r="39" spans="1:17" s="93" customFormat="1" ht="15">
      <c r="A39" s="1179" t="s">
        <v>500</v>
      </c>
      <c r="B39" s="1140"/>
      <c r="C39" s="1180"/>
      <c r="D39" s="205">
        <f>D36</f>
        <v>1</v>
      </c>
      <c r="E39" s="277" t="s">
        <v>10</v>
      </c>
      <c r="F39" s="1145" t="s">
        <v>519</v>
      </c>
      <c r="G39" s="1146"/>
      <c r="H39" s="1146"/>
      <c r="I39" s="1146"/>
      <c r="J39" s="1146"/>
      <c r="K39" s="1147"/>
      <c r="L39" s="536"/>
      <c r="M39" s="536"/>
      <c r="N39" s="536"/>
      <c r="O39" s="151"/>
      <c r="P39" s="151"/>
      <c r="Q39" s="151"/>
    </row>
    <row r="40" spans="1:17" s="93" customFormat="1" ht="15">
      <c r="A40" s="1179" t="s">
        <v>415</v>
      </c>
      <c r="B40" s="1140"/>
      <c r="C40" s="1180"/>
      <c r="D40" s="205">
        <f>D36</f>
        <v>1</v>
      </c>
      <c r="E40" s="277" t="s">
        <v>10</v>
      </c>
      <c r="F40" s="1145" t="s">
        <v>498</v>
      </c>
      <c r="G40" s="1146"/>
      <c r="H40" s="1146"/>
      <c r="I40" s="1146"/>
      <c r="J40" s="1146"/>
      <c r="K40" s="1147"/>
      <c r="L40" s="536"/>
      <c r="M40" s="536"/>
      <c r="N40" s="536"/>
      <c r="O40" s="151"/>
      <c r="P40" s="151"/>
      <c r="Q40" s="151"/>
    </row>
    <row r="41" spans="1:17" s="93" customFormat="1" ht="15.75" thickBot="1">
      <c r="A41" s="1181" t="s">
        <v>501</v>
      </c>
      <c r="B41" s="1182"/>
      <c r="C41" s="1183"/>
      <c r="D41" s="337">
        <f>1</f>
        <v>1</v>
      </c>
      <c r="E41" s="451" t="s">
        <v>10</v>
      </c>
      <c r="F41" s="1169" t="s">
        <v>503</v>
      </c>
      <c r="G41" s="1170"/>
      <c r="H41" s="1170"/>
      <c r="I41" s="1170"/>
      <c r="J41" s="1170"/>
      <c r="K41" s="1171"/>
      <c r="L41" s="536"/>
      <c r="M41" s="536"/>
      <c r="N41" s="536"/>
      <c r="O41" s="151"/>
      <c r="P41" s="151"/>
      <c r="Q41" s="151"/>
    </row>
    <row r="42" spans="1:17" ht="15">
      <c r="A42" s="151"/>
      <c r="B42" s="151"/>
      <c r="C42" s="151"/>
      <c r="D42" s="151"/>
      <c r="E42" s="151"/>
      <c r="F42" s="151"/>
      <c r="G42" s="151"/>
      <c r="H42" s="151"/>
      <c r="I42" s="151"/>
      <c r="J42" s="151"/>
      <c r="K42" s="151"/>
      <c r="L42" s="151"/>
      <c r="M42" s="151"/>
      <c r="N42" s="151"/>
      <c r="O42" s="151"/>
      <c r="P42" s="151"/>
      <c r="Q42" s="151"/>
    </row>
    <row r="43" spans="1:17" ht="15">
      <c r="A43" s="536"/>
      <c r="B43" s="151"/>
      <c r="C43" s="151"/>
      <c r="D43" s="151"/>
      <c r="E43" s="151"/>
      <c r="F43" s="151"/>
      <c r="G43" s="151"/>
      <c r="H43" s="151"/>
      <c r="I43" s="151"/>
      <c r="J43" s="151"/>
      <c r="K43" s="151"/>
      <c r="L43" s="151"/>
      <c r="M43" s="151"/>
      <c r="N43" s="151"/>
      <c r="O43" s="151"/>
      <c r="P43" s="151"/>
      <c r="Q43" s="151"/>
    </row>
    <row r="44" spans="1:17">
      <c r="A44" s="61"/>
      <c r="B44"/>
      <c r="C44"/>
      <c r="D44"/>
      <c r="E44"/>
      <c r="F44"/>
      <c r="G44"/>
      <c r="H44"/>
      <c r="I44"/>
      <c r="J44"/>
      <c r="K44"/>
      <c r="L44"/>
      <c r="M44"/>
      <c r="N44"/>
    </row>
    <row r="45" spans="1:17" ht="14.25" customHeight="1">
      <c r="A45" s="61"/>
      <c r="B45"/>
      <c r="C45"/>
      <c r="D45"/>
      <c r="E45"/>
      <c r="F45"/>
      <c r="G45"/>
      <c r="H45"/>
      <c r="I45"/>
      <c r="J45"/>
      <c r="K45"/>
      <c r="L45"/>
      <c r="M45"/>
      <c r="N45"/>
    </row>
    <row r="46" spans="1:17">
      <c r="A46" s="61"/>
      <c r="B46"/>
      <c r="C46"/>
      <c r="D46"/>
      <c r="E46"/>
      <c r="F46"/>
      <c r="G46"/>
      <c r="H46"/>
      <c r="I46"/>
      <c r="J46"/>
      <c r="K46"/>
      <c r="L46"/>
      <c r="M46"/>
      <c r="N46"/>
    </row>
    <row r="47" spans="1:17">
      <c r="A47" s="61"/>
      <c r="B47"/>
      <c r="C47"/>
      <c r="D47"/>
      <c r="E47"/>
      <c r="F47"/>
      <c r="G47"/>
      <c r="H47"/>
      <c r="I47"/>
      <c r="J47"/>
      <c r="K47"/>
      <c r="L47"/>
      <c r="M47"/>
      <c r="N47"/>
    </row>
    <row r="48" spans="1:17">
      <c r="A48" s="61"/>
      <c r="B48"/>
      <c r="C48"/>
      <c r="D48"/>
      <c r="E48"/>
      <c r="F48"/>
      <c r="G48"/>
      <c r="H48"/>
      <c r="I48"/>
      <c r="J48"/>
      <c r="K48"/>
      <c r="L48"/>
      <c r="M48"/>
      <c r="N48"/>
    </row>
    <row r="49" spans="1:14">
      <c r="A49" s="61"/>
      <c r="B49"/>
      <c r="C49"/>
      <c r="D49"/>
      <c r="E49"/>
      <c r="F49"/>
      <c r="G49"/>
      <c r="H49"/>
      <c r="I49"/>
      <c r="J49"/>
      <c r="K49"/>
      <c r="L49"/>
      <c r="M49"/>
      <c r="N49"/>
    </row>
    <row r="50" spans="1:14" ht="15" customHeight="1">
      <c r="A50" s="61"/>
      <c r="B50"/>
      <c r="C50"/>
      <c r="D50"/>
      <c r="E50"/>
      <c r="F50"/>
      <c r="G50"/>
      <c r="H50"/>
      <c r="I50"/>
      <c r="J50"/>
      <c r="K50"/>
      <c r="L50"/>
      <c r="M50"/>
      <c r="N50"/>
    </row>
    <row r="51" spans="1:14">
      <c r="A51" s="61"/>
      <c r="B51"/>
      <c r="C51"/>
      <c r="D51"/>
      <c r="E51"/>
      <c r="F51"/>
      <c r="G51"/>
      <c r="H51"/>
      <c r="I51"/>
      <c r="J51"/>
      <c r="K51"/>
      <c r="L51"/>
      <c r="M51"/>
      <c r="N51"/>
    </row>
    <row r="52" spans="1:14" ht="15" customHeight="1">
      <c r="A52" s="61"/>
      <c r="B52"/>
      <c r="C52"/>
      <c r="D52"/>
      <c r="E52"/>
      <c r="F52"/>
      <c r="G52"/>
      <c r="H52"/>
      <c r="I52"/>
      <c r="J52"/>
      <c r="K52"/>
      <c r="L52"/>
      <c r="M52"/>
      <c r="N52"/>
    </row>
    <row r="53" spans="1:14" ht="14.45" customHeight="1">
      <c r="A53" s="61"/>
      <c r="B53"/>
      <c r="C53"/>
      <c r="D53"/>
      <c r="E53"/>
      <c r="F53"/>
      <c r="G53"/>
      <c r="H53"/>
      <c r="I53"/>
      <c r="J53"/>
      <c r="K53"/>
      <c r="L53"/>
      <c r="M53"/>
      <c r="N53"/>
    </row>
    <row r="54" spans="1:14">
      <c r="A54" s="61"/>
      <c r="B54"/>
      <c r="C54"/>
      <c r="D54"/>
      <c r="E54"/>
      <c r="F54"/>
      <c r="G54"/>
      <c r="H54"/>
      <c r="I54"/>
      <c r="J54"/>
      <c r="K54"/>
      <c r="L54"/>
      <c r="M54"/>
      <c r="N54"/>
    </row>
    <row r="55" spans="1:14" ht="38.25" customHeight="1">
      <c r="A55" s="61"/>
      <c r="B55"/>
      <c r="C55"/>
      <c r="D55"/>
      <c r="E55"/>
      <c r="F55"/>
      <c r="G55"/>
      <c r="H55"/>
      <c r="I55"/>
      <c r="J55"/>
      <c r="K55"/>
      <c r="L55"/>
      <c r="M55"/>
      <c r="N55"/>
    </row>
    <row r="56" spans="1:14">
      <c r="A56" s="61"/>
      <c r="B56"/>
      <c r="C56"/>
      <c r="D56"/>
      <c r="E56"/>
      <c r="F56"/>
      <c r="G56"/>
      <c r="H56"/>
      <c r="I56"/>
      <c r="J56"/>
      <c r="K56"/>
      <c r="L56"/>
      <c r="M56"/>
      <c r="N56"/>
    </row>
    <row r="57" spans="1:14">
      <c r="A57" s="61"/>
      <c r="B57"/>
      <c r="C57"/>
      <c r="D57"/>
      <c r="E57"/>
      <c r="F57"/>
      <c r="G57"/>
      <c r="H57"/>
      <c r="I57"/>
      <c r="J57"/>
      <c r="K57"/>
      <c r="L57"/>
      <c r="M57"/>
      <c r="N57"/>
    </row>
    <row r="58" spans="1:14">
      <c r="A58" s="61"/>
      <c r="B58"/>
      <c r="C58"/>
      <c r="D58"/>
      <c r="E58"/>
      <c r="F58"/>
      <c r="G58"/>
      <c r="H58"/>
      <c r="I58"/>
      <c r="J58"/>
      <c r="K58"/>
      <c r="L58"/>
      <c r="M58"/>
      <c r="N58"/>
    </row>
    <row r="59" spans="1:14">
      <c r="A59" s="61"/>
      <c r="B59"/>
      <c r="C59"/>
      <c r="D59"/>
      <c r="E59"/>
      <c r="F59"/>
      <c r="G59"/>
      <c r="H59"/>
      <c r="I59"/>
      <c r="J59"/>
      <c r="K59"/>
      <c r="L59"/>
      <c r="M59"/>
      <c r="N59"/>
    </row>
    <row r="60" spans="1:14">
      <c r="A60" s="61"/>
      <c r="B60"/>
      <c r="C60"/>
      <c r="D60"/>
      <c r="E60"/>
      <c r="F60"/>
      <c r="G60"/>
      <c r="H60"/>
      <c r="I60"/>
      <c r="J60"/>
      <c r="K60"/>
      <c r="L60"/>
      <c r="M60"/>
      <c r="N60"/>
    </row>
    <row r="61" spans="1:14">
      <c r="A61" s="61"/>
      <c r="B61"/>
      <c r="C61"/>
      <c r="D61"/>
      <c r="E61"/>
      <c r="F61"/>
      <c r="G61"/>
      <c r="H61"/>
      <c r="I61"/>
      <c r="J61"/>
      <c r="K61"/>
      <c r="L61"/>
      <c r="M61"/>
      <c r="N61"/>
    </row>
    <row r="62" spans="1:14">
      <c r="A62" s="61"/>
      <c r="B62"/>
      <c r="C62"/>
      <c r="D62"/>
      <c r="E62"/>
      <c r="F62"/>
      <c r="G62"/>
      <c r="H62"/>
      <c r="I62"/>
      <c r="J62"/>
      <c r="K62"/>
      <c r="L62"/>
      <c r="M62"/>
      <c r="N62"/>
    </row>
    <row r="63" spans="1:14">
      <c r="A63" s="61"/>
      <c r="B63"/>
      <c r="C63"/>
      <c r="D63"/>
      <c r="E63"/>
      <c r="F63"/>
      <c r="G63"/>
      <c r="H63"/>
      <c r="I63"/>
      <c r="J63"/>
      <c r="K63"/>
      <c r="L63"/>
      <c r="M63"/>
      <c r="N63"/>
    </row>
    <row r="64" spans="1:14">
      <c r="A64" s="61"/>
      <c r="B64"/>
      <c r="C64"/>
      <c r="D64"/>
      <c r="E64"/>
      <c r="F64"/>
      <c r="G64"/>
      <c r="H64"/>
      <c r="I64"/>
      <c r="J64"/>
      <c r="K64"/>
      <c r="L64"/>
      <c r="M64"/>
      <c r="N64"/>
    </row>
    <row r="65" spans="1:14">
      <c r="A65" s="61"/>
      <c r="B65"/>
      <c r="C65"/>
      <c r="D65"/>
      <c r="E65"/>
      <c r="F65"/>
      <c r="G65"/>
      <c r="H65"/>
      <c r="I65"/>
      <c r="J65"/>
      <c r="K65"/>
      <c r="L65"/>
      <c r="M65"/>
      <c r="N65"/>
    </row>
    <row r="66" spans="1:14">
      <c r="A66" s="61"/>
      <c r="B66"/>
      <c r="C66"/>
      <c r="D66"/>
      <c r="E66"/>
      <c r="F66"/>
      <c r="G66"/>
      <c r="H66"/>
      <c r="I66"/>
      <c r="J66"/>
      <c r="K66"/>
      <c r="L66"/>
      <c r="M66"/>
      <c r="N66"/>
    </row>
    <row r="67" spans="1:14">
      <c r="A67" s="61"/>
      <c r="B67"/>
      <c r="C67"/>
      <c r="D67"/>
      <c r="E67"/>
      <c r="F67"/>
      <c r="G67"/>
      <c r="H67"/>
      <c r="I67"/>
      <c r="J67"/>
      <c r="K67"/>
      <c r="L67"/>
      <c r="M67"/>
      <c r="N67"/>
    </row>
    <row r="68" spans="1:14">
      <c r="A68" s="61"/>
      <c r="B68"/>
      <c r="C68"/>
      <c r="D68"/>
      <c r="E68"/>
      <c r="F68"/>
      <c r="G68"/>
      <c r="H68"/>
      <c r="I68"/>
      <c r="J68"/>
      <c r="K68"/>
      <c r="L68"/>
      <c r="M68"/>
      <c r="N68"/>
    </row>
    <row r="69" spans="1:14">
      <c r="A69" s="61"/>
      <c r="B69"/>
      <c r="C69"/>
      <c r="D69"/>
      <c r="E69"/>
      <c r="F69"/>
      <c r="G69"/>
      <c r="H69"/>
      <c r="I69"/>
      <c r="J69"/>
      <c r="K69"/>
      <c r="L69"/>
      <c r="M69"/>
      <c r="N69"/>
    </row>
    <row r="70" spans="1:14">
      <c r="A70" s="61"/>
      <c r="B70"/>
      <c r="C70"/>
      <c r="D70"/>
      <c r="E70"/>
      <c r="F70"/>
      <c r="G70"/>
      <c r="H70"/>
      <c r="I70"/>
      <c r="J70"/>
      <c r="K70"/>
      <c r="L70"/>
      <c r="M70"/>
      <c r="N70"/>
    </row>
    <row r="71" spans="1:14">
      <c r="A71" s="61"/>
      <c r="B71"/>
      <c r="C71"/>
      <c r="D71"/>
      <c r="E71"/>
      <c r="F71"/>
      <c r="G71"/>
      <c r="H71"/>
      <c r="I71"/>
      <c r="J71"/>
      <c r="K71"/>
      <c r="L71"/>
      <c r="M71"/>
      <c r="N71"/>
    </row>
    <row r="72" spans="1:14">
      <c r="A72" s="61"/>
      <c r="B72"/>
      <c r="C72"/>
      <c r="D72"/>
      <c r="E72"/>
      <c r="F72"/>
      <c r="G72"/>
      <c r="H72"/>
      <c r="I72"/>
      <c r="J72"/>
      <c r="K72"/>
      <c r="L72"/>
      <c r="M72"/>
      <c r="N72"/>
    </row>
    <row r="73" spans="1:14">
      <c r="A73" s="61"/>
      <c r="B73"/>
      <c r="C73"/>
      <c r="D73"/>
      <c r="E73"/>
      <c r="F73"/>
      <c r="G73"/>
      <c r="H73"/>
      <c r="I73"/>
      <c r="J73"/>
      <c r="K73"/>
      <c r="L73"/>
      <c r="M73"/>
      <c r="N73"/>
    </row>
    <row r="74" spans="1:14">
      <c r="A74" s="61"/>
      <c r="B74"/>
      <c r="C74"/>
      <c r="D74"/>
      <c r="E74"/>
      <c r="F74"/>
      <c r="G74"/>
      <c r="H74"/>
      <c r="I74"/>
      <c r="J74"/>
      <c r="K74"/>
      <c r="L74"/>
      <c r="M74"/>
      <c r="N74"/>
    </row>
    <row r="75" spans="1:14">
      <c r="A75" s="61"/>
      <c r="B75"/>
      <c r="C75"/>
      <c r="D75"/>
      <c r="E75"/>
      <c r="F75"/>
      <c r="G75"/>
      <c r="H75"/>
      <c r="I75"/>
      <c r="J75"/>
      <c r="K75"/>
      <c r="L75"/>
      <c r="M75"/>
      <c r="N75"/>
    </row>
    <row r="76" spans="1:14">
      <c r="A76" s="61"/>
      <c r="B76"/>
      <c r="C76"/>
      <c r="D76"/>
      <c r="E76"/>
      <c r="F76"/>
      <c r="G76"/>
      <c r="H76"/>
      <c r="I76"/>
      <c r="J76"/>
      <c r="K76"/>
      <c r="L76"/>
      <c r="M76"/>
      <c r="N76"/>
    </row>
    <row r="77" spans="1:14">
      <c r="A77" s="61"/>
      <c r="B77"/>
      <c r="C77"/>
      <c r="D77"/>
      <c r="E77"/>
      <c r="F77"/>
      <c r="G77"/>
      <c r="H77"/>
      <c r="I77"/>
      <c r="J77"/>
      <c r="K77"/>
      <c r="L77"/>
      <c r="M77"/>
      <c r="N77"/>
    </row>
    <row r="78" spans="1:14">
      <c r="A78" s="61"/>
      <c r="B78"/>
      <c r="C78"/>
      <c r="D78"/>
      <c r="E78"/>
      <c r="F78"/>
      <c r="G78"/>
      <c r="H78"/>
      <c r="I78"/>
      <c r="J78"/>
      <c r="K78"/>
      <c r="L78"/>
      <c r="M78"/>
      <c r="N78"/>
    </row>
    <row r="79" spans="1:14">
      <c r="A79" s="61"/>
      <c r="B79"/>
      <c r="C79"/>
      <c r="D79"/>
      <c r="E79"/>
      <c r="F79"/>
      <c r="G79"/>
      <c r="H79"/>
      <c r="I79"/>
      <c r="J79"/>
      <c r="K79"/>
      <c r="L79"/>
      <c r="M79"/>
      <c r="N79"/>
    </row>
    <row r="80" spans="1:14">
      <c r="A80" s="61"/>
      <c r="B80"/>
      <c r="C80"/>
      <c r="D80"/>
      <c r="E80"/>
      <c r="F80"/>
      <c r="G80"/>
      <c r="H80"/>
      <c r="I80"/>
      <c r="J80"/>
      <c r="K80"/>
      <c r="L80"/>
      <c r="M80"/>
      <c r="N80"/>
    </row>
    <row r="81" spans="1:14">
      <c r="A81" s="61"/>
      <c r="B81"/>
      <c r="C81"/>
      <c r="D81"/>
      <c r="E81"/>
      <c r="F81"/>
      <c r="G81"/>
      <c r="H81"/>
      <c r="I81"/>
      <c r="J81"/>
      <c r="K81"/>
      <c r="L81"/>
      <c r="M81"/>
      <c r="N81"/>
    </row>
    <row r="82" spans="1:14">
      <c r="A82" s="61"/>
      <c r="B82"/>
      <c r="C82"/>
      <c r="D82"/>
      <c r="E82"/>
      <c r="F82"/>
      <c r="G82"/>
      <c r="H82"/>
      <c r="I82"/>
      <c r="J82"/>
      <c r="K82"/>
      <c r="L82"/>
      <c r="M82"/>
      <c r="N82"/>
    </row>
    <row r="121" spans="8:14">
      <c r="H121"/>
      <c r="I121"/>
      <c r="J121"/>
      <c r="K121"/>
      <c r="L121"/>
      <c r="M121"/>
      <c r="N121"/>
    </row>
    <row r="122" spans="8:14">
      <c r="H122"/>
      <c r="I122"/>
      <c r="J122"/>
      <c r="K122"/>
      <c r="L122"/>
      <c r="M122"/>
      <c r="N122"/>
    </row>
    <row r="123" spans="8:14">
      <c r="H123"/>
      <c r="I123"/>
      <c r="J123"/>
      <c r="K123"/>
      <c r="L123"/>
      <c r="M123"/>
      <c r="N123"/>
    </row>
    <row r="124" spans="8:14">
      <c r="H124"/>
      <c r="I124"/>
      <c r="J124"/>
      <c r="K124"/>
      <c r="L124"/>
      <c r="M124"/>
      <c r="N124"/>
    </row>
    <row r="125" spans="8:14">
      <c r="H125"/>
      <c r="I125"/>
      <c r="J125"/>
      <c r="K125"/>
      <c r="L125"/>
      <c r="M125"/>
      <c r="N125"/>
    </row>
    <row r="126" spans="8:14">
      <c r="H126"/>
      <c r="I126"/>
      <c r="J126"/>
      <c r="K126"/>
      <c r="L126"/>
      <c r="M126"/>
      <c r="N126"/>
    </row>
    <row r="127" spans="8:14">
      <c r="H127"/>
      <c r="I127"/>
      <c r="J127"/>
      <c r="K127"/>
      <c r="L127"/>
      <c r="M127"/>
      <c r="N127"/>
    </row>
    <row r="128" spans="8:14">
      <c r="H128"/>
      <c r="I128"/>
      <c r="J128"/>
      <c r="K128"/>
      <c r="L128"/>
      <c r="M128"/>
      <c r="N128"/>
    </row>
    <row r="129" spans="8:14">
      <c r="H129"/>
      <c r="I129"/>
      <c r="J129"/>
      <c r="K129"/>
      <c r="L129"/>
      <c r="M129"/>
      <c r="N129"/>
    </row>
    <row r="130" spans="8:14">
      <c r="H130"/>
      <c r="I130"/>
      <c r="J130"/>
      <c r="K130"/>
      <c r="L130"/>
      <c r="M130"/>
      <c r="N130"/>
    </row>
    <row r="131" spans="8:14">
      <c r="H131"/>
      <c r="I131"/>
      <c r="J131"/>
      <c r="K131"/>
      <c r="L131"/>
      <c r="M131"/>
      <c r="N131"/>
    </row>
    <row r="132" spans="8:14">
      <c r="H132"/>
      <c r="I132"/>
      <c r="J132"/>
      <c r="K132"/>
      <c r="L132"/>
      <c r="M132"/>
      <c r="N132"/>
    </row>
    <row r="133" spans="8:14">
      <c r="H133"/>
      <c r="I133"/>
      <c r="J133"/>
      <c r="K133"/>
      <c r="L133"/>
      <c r="M133"/>
      <c r="N133"/>
    </row>
    <row r="134" spans="8:14">
      <c r="H134"/>
      <c r="I134"/>
      <c r="J134"/>
      <c r="K134"/>
      <c r="L134"/>
      <c r="M134"/>
      <c r="N134"/>
    </row>
    <row r="135" spans="8:14">
      <c r="H135"/>
      <c r="I135"/>
      <c r="J135"/>
      <c r="K135"/>
      <c r="L135"/>
      <c r="M135"/>
      <c r="N135"/>
    </row>
    <row r="136" spans="8:14">
      <c r="H136"/>
      <c r="I136"/>
      <c r="J136"/>
      <c r="K136"/>
      <c r="L136"/>
      <c r="M136"/>
      <c r="N136"/>
    </row>
    <row r="137" spans="8:14">
      <c r="H137"/>
      <c r="I137"/>
      <c r="J137"/>
      <c r="K137"/>
      <c r="L137"/>
      <c r="M137"/>
      <c r="N137"/>
    </row>
  </sheetData>
  <protectedRanges>
    <protectedRange sqref="K18 I18" name="Intervalo1"/>
    <protectedRange sqref="A19:A26" name="Intervalo1_1"/>
  </protectedRanges>
  <mergeCells count="63">
    <mergeCell ref="A1:K1"/>
    <mergeCell ref="A3:K3"/>
    <mergeCell ref="A25:C25"/>
    <mergeCell ref="F25:K25"/>
    <mergeCell ref="P6:P9"/>
    <mergeCell ref="P11:P12"/>
    <mergeCell ref="P13:P14"/>
    <mergeCell ref="K6:K9"/>
    <mergeCell ref="K11:K12"/>
    <mergeCell ref="K13:K14"/>
    <mergeCell ref="F6:F9"/>
    <mergeCell ref="F11:F12"/>
    <mergeCell ref="F13:F14"/>
    <mergeCell ref="I11:I12"/>
    <mergeCell ref="I6:I9"/>
    <mergeCell ref="I13:I14"/>
    <mergeCell ref="O6:O9"/>
    <mergeCell ref="O11:O12"/>
    <mergeCell ref="O13:O14"/>
    <mergeCell ref="I18:J18"/>
    <mergeCell ref="A19:K19"/>
    <mergeCell ref="A20:C20"/>
    <mergeCell ref="A23:C23"/>
    <mergeCell ref="F23:K23"/>
    <mergeCell ref="F20:K20"/>
    <mergeCell ref="A21:C21"/>
    <mergeCell ref="F21:K21"/>
    <mergeCell ref="A22:C22"/>
    <mergeCell ref="F22:K22"/>
    <mergeCell ref="A27:C27"/>
    <mergeCell ref="F27:K27"/>
    <mergeCell ref="A28:C28"/>
    <mergeCell ref="F28:K28"/>
    <mergeCell ref="A26:C26"/>
    <mergeCell ref="F26:K26"/>
    <mergeCell ref="A29:C29"/>
    <mergeCell ref="F29:K29"/>
    <mergeCell ref="A30:C30"/>
    <mergeCell ref="F30:K30"/>
    <mergeCell ref="A31:C31"/>
    <mergeCell ref="F31:K31"/>
    <mergeCell ref="A34:K34"/>
    <mergeCell ref="A35:K35"/>
    <mergeCell ref="A36:C36"/>
    <mergeCell ref="F36:K36"/>
    <mergeCell ref="A32:C32"/>
    <mergeCell ref="F32:K32"/>
    <mergeCell ref="A5:K5"/>
    <mergeCell ref="A17:H17"/>
    <mergeCell ref="A40:C40"/>
    <mergeCell ref="F40:K40"/>
    <mergeCell ref="A41:C41"/>
    <mergeCell ref="F41:K41"/>
    <mergeCell ref="F24:K24"/>
    <mergeCell ref="A24:C24"/>
    <mergeCell ref="A37:C37"/>
    <mergeCell ref="F37:K37"/>
    <mergeCell ref="A38:C38"/>
    <mergeCell ref="F38:K38"/>
    <mergeCell ref="A39:C39"/>
    <mergeCell ref="F39:K39"/>
    <mergeCell ref="A33:C33"/>
    <mergeCell ref="F33:K33"/>
  </mergeCells>
  <printOptions horizontalCentered="1"/>
  <pageMargins left="0.7" right="0.7" top="0.75" bottom="0.75" header="0.3" footer="0.3"/>
  <pageSetup paperSize="9" scale="48" fitToHeight="0" orientation="portrait" r:id="rId1"/>
  <headerFooter scaleWithDoc="0"/>
  <colBreaks count="1" manualBreakCount="1">
    <brk id="13" max="31" man="1"/>
  </colBreaks>
  <drawing r:id="rId2"/>
  <legacyDrawing r:id="rId3"/>
  <legacyDrawingHF r:id="rId4"/>
  <oleObjects>
    <mc:AlternateContent xmlns:mc="http://schemas.openxmlformats.org/markup-compatibility/2006">
      <mc:Choice Requires="x14">
        <oleObject progId="CorelDraw.Graphic.18" shapeId="20481" r:id="rId5">
          <objectPr defaultSize="0" autoPict="0" r:id="rId6">
            <anchor moveWithCells="1">
              <from>
                <xdr:col>0</xdr:col>
                <xdr:colOff>2524125</xdr:colOff>
                <xdr:row>0</xdr:row>
                <xdr:rowOff>76200</xdr:rowOff>
              </from>
              <to>
                <xdr:col>1</xdr:col>
                <xdr:colOff>742950</xdr:colOff>
                <xdr:row>0</xdr:row>
                <xdr:rowOff>762000</xdr:rowOff>
              </to>
            </anchor>
          </objectPr>
        </oleObject>
      </mc:Choice>
      <mc:Fallback>
        <oleObject progId="CorelDraw.Graphic.18" shapeId="20481" r:id="rId5"/>
      </mc:Fallback>
    </mc:AlternateContent>
  </oleObject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7839CF-7BE5-406A-A0FF-38F8D247F0A3}">
  <sheetPr>
    <pageSetUpPr fitToPage="1"/>
  </sheetPr>
  <dimension ref="A1:T175"/>
  <sheetViews>
    <sheetView view="pageBreakPreview" zoomScale="85" zoomScaleNormal="100" zoomScaleSheetLayoutView="85" workbookViewId="0">
      <selection activeCell="J25" sqref="J25"/>
    </sheetView>
  </sheetViews>
  <sheetFormatPr defaultRowHeight="14.25"/>
  <cols>
    <col min="1" max="1" width="15.625" style="93" customWidth="1"/>
    <col min="2" max="2" width="17" style="93" customWidth="1"/>
    <col min="3" max="3" width="23.375" style="93" customWidth="1"/>
    <col min="4" max="4" width="15.125" style="93" bestFit="1" customWidth="1"/>
    <col min="5" max="5" width="18.25" style="93" bestFit="1" customWidth="1"/>
    <col min="6" max="6" width="11.125" style="93" customWidth="1"/>
    <col min="7" max="7" width="45.625" style="93" customWidth="1"/>
    <col min="8" max="8" width="9" style="93" customWidth="1"/>
    <col min="9" max="9" width="13.25" style="93" bestFit="1" customWidth="1"/>
    <col min="10" max="10" width="11.25" style="93" customWidth="1"/>
    <col min="11" max="11" width="19" style="93" bestFit="1" customWidth="1"/>
    <col min="12" max="16384" width="9" style="93"/>
  </cols>
  <sheetData>
    <row r="1" spans="1:20" ht="29.25" customHeight="1">
      <c r="A1" s="1279" t="s">
        <v>422</v>
      </c>
      <c r="B1" s="1280"/>
      <c r="C1" s="1280"/>
      <c r="D1" s="1280"/>
      <c r="E1" s="1280"/>
      <c r="F1" s="1280"/>
      <c r="G1" s="1281"/>
    </row>
    <row r="2" spans="1:20">
      <c r="A2" s="1282"/>
      <c r="B2" s="1283"/>
      <c r="C2" s="1283"/>
      <c r="D2" s="1283"/>
      <c r="E2" s="1283"/>
      <c r="F2" s="1283"/>
      <c r="G2" s="1284"/>
    </row>
    <row r="3" spans="1:20" ht="34.5" customHeight="1" thickBot="1">
      <c r="A3" s="1285"/>
      <c r="B3" s="1286"/>
      <c r="C3" s="1286"/>
      <c r="D3" s="1286"/>
      <c r="E3" s="1286"/>
      <c r="F3" s="1286"/>
      <c r="G3" s="1287"/>
    </row>
    <row r="4" spans="1:20" ht="15.75" thickBot="1">
      <c r="A4" s="339" t="s">
        <v>298</v>
      </c>
      <c r="B4" s="340" t="s">
        <v>299</v>
      </c>
      <c r="C4" s="340" t="s">
        <v>300</v>
      </c>
      <c r="D4" s="340"/>
      <c r="E4" s="340" t="s">
        <v>301</v>
      </c>
      <c r="F4" s="340" t="s">
        <v>17</v>
      </c>
      <c r="G4" s="206" t="s">
        <v>302</v>
      </c>
    </row>
    <row r="5" spans="1:20" ht="135" customHeight="1">
      <c r="A5" s="1289" t="s">
        <v>426</v>
      </c>
      <c r="B5" s="1266" t="s">
        <v>386</v>
      </c>
      <c r="C5" s="1268" t="s">
        <v>303</v>
      </c>
      <c r="D5" s="877" t="s">
        <v>304</v>
      </c>
      <c r="E5" s="878">
        <v>295471</v>
      </c>
      <c r="F5" s="877" t="s">
        <v>305</v>
      </c>
      <c r="G5" s="879" t="s">
        <v>718</v>
      </c>
      <c r="H5" s="122"/>
      <c r="I5" s="122"/>
      <c r="J5" s="122"/>
      <c r="K5" s="122"/>
      <c r="L5" s="122"/>
      <c r="M5" s="122"/>
      <c r="N5" s="122"/>
      <c r="O5" s="122"/>
      <c r="P5" s="122"/>
      <c r="Q5" s="122"/>
      <c r="R5" s="122"/>
      <c r="S5" s="122"/>
      <c r="T5" s="122"/>
    </row>
    <row r="6" spans="1:20" ht="15" customHeight="1">
      <c r="A6" s="1290"/>
      <c r="B6" s="1267"/>
      <c r="C6" s="1234"/>
      <c r="D6" s="507" t="s">
        <v>306</v>
      </c>
      <c r="E6" s="280">
        <f>E5*25%</f>
        <v>73867.75</v>
      </c>
      <c r="F6" s="507" t="s">
        <v>305</v>
      </c>
      <c r="G6" s="510" t="s">
        <v>721</v>
      </c>
      <c r="H6" s="122"/>
      <c r="I6" s="122"/>
      <c r="J6" s="122"/>
      <c r="K6" s="122"/>
      <c r="L6" s="122"/>
      <c r="M6" s="122"/>
      <c r="N6" s="122"/>
      <c r="O6" s="122"/>
      <c r="P6" s="122"/>
      <c r="Q6" s="122"/>
      <c r="R6" s="122"/>
      <c r="S6" s="122"/>
      <c r="T6" s="122"/>
    </row>
    <row r="7" spans="1:20" ht="90" customHeight="1">
      <c r="A7" s="1290"/>
      <c r="B7" s="1267"/>
      <c r="C7" s="1234" t="s">
        <v>307</v>
      </c>
      <c r="D7" s="507" t="s">
        <v>304</v>
      </c>
      <c r="E7" s="280">
        <f>E5*20%</f>
        <v>59094.200000000004</v>
      </c>
      <c r="F7" s="507" t="s">
        <v>305</v>
      </c>
      <c r="G7" s="510" t="s">
        <v>308</v>
      </c>
      <c r="H7" s="122"/>
      <c r="I7" s="122"/>
      <c r="J7" s="122"/>
      <c r="K7" s="122"/>
      <c r="L7" s="122"/>
      <c r="M7" s="122"/>
      <c r="N7" s="122"/>
      <c r="O7" s="122"/>
      <c r="P7" s="122"/>
      <c r="Q7" s="122"/>
      <c r="R7" s="122"/>
      <c r="S7" s="122"/>
      <c r="T7" s="122"/>
    </row>
    <row r="8" spans="1:20" ht="15">
      <c r="A8" s="1290"/>
      <c r="B8" s="1267"/>
      <c r="C8" s="1234"/>
      <c r="D8" s="507" t="s">
        <v>306</v>
      </c>
      <c r="E8" s="280">
        <f>E6*20%</f>
        <v>14773.550000000001</v>
      </c>
      <c r="F8" s="507" t="s">
        <v>305</v>
      </c>
      <c r="G8" s="508" t="s">
        <v>309</v>
      </c>
      <c r="H8" s="122"/>
      <c r="I8" s="122"/>
      <c r="J8" s="124"/>
      <c r="K8" s="124"/>
      <c r="L8" s="122"/>
      <c r="M8" s="122"/>
      <c r="N8" s="122"/>
      <c r="O8" s="122"/>
      <c r="P8" s="122"/>
      <c r="Q8" s="122"/>
      <c r="R8" s="122"/>
      <c r="S8" s="122"/>
      <c r="T8" s="122"/>
    </row>
    <row r="9" spans="1:20" ht="15" customHeight="1">
      <c r="A9" s="1290"/>
      <c r="B9" s="1267"/>
      <c r="C9" s="1234" t="s">
        <v>310</v>
      </c>
      <c r="D9" s="504" t="s">
        <v>304</v>
      </c>
      <c r="E9" s="209">
        <v>120</v>
      </c>
      <c r="F9" s="507" t="s">
        <v>311</v>
      </c>
      <c r="G9" s="1269" t="s">
        <v>312</v>
      </c>
      <c r="H9" s="122"/>
      <c r="I9" s="122"/>
      <c r="J9" s="122"/>
      <c r="K9" s="122"/>
      <c r="L9" s="122"/>
      <c r="M9" s="122"/>
      <c r="N9" s="122"/>
      <c r="O9" s="122"/>
      <c r="P9" s="122"/>
      <c r="Q9" s="122"/>
      <c r="R9" s="122"/>
      <c r="S9" s="122"/>
      <c r="T9" s="122"/>
    </row>
    <row r="10" spans="1:20" ht="15">
      <c r="A10" s="1290"/>
      <c r="B10" s="1267"/>
      <c r="C10" s="1234"/>
      <c r="D10" s="507" t="s">
        <v>306</v>
      </c>
      <c r="E10" s="209">
        <v>120</v>
      </c>
      <c r="F10" s="507" t="s">
        <v>311</v>
      </c>
      <c r="G10" s="1269"/>
      <c r="H10" s="122"/>
      <c r="I10" s="122"/>
      <c r="J10" s="63"/>
      <c r="K10" s="122"/>
      <c r="L10" s="122"/>
      <c r="M10" s="122"/>
      <c r="N10" s="122"/>
      <c r="O10" s="122"/>
      <c r="P10" s="122"/>
      <c r="Q10" s="122"/>
      <c r="R10" s="122"/>
      <c r="S10" s="122"/>
      <c r="T10" s="122"/>
    </row>
    <row r="11" spans="1:20" ht="15" customHeight="1">
      <c r="A11" s="1290"/>
      <c r="B11" s="1267"/>
      <c r="C11" s="1234" t="s">
        <v>313</v>
      </c>
      <c r="D11" s="507" t="s">
        <v>304</v>
      </c>
      <c r="E11" s="280">
        <f>(E5-E7)/E9</f>
        <v>1969.8066666666666</v>
      </c>
      <c r="F11" s="507" t="s">
        <v>314</v>
      </c>
      <c r="G11" s="1269" t="s">
        <v>315</v>
      </c>
      <c r="H11" s="122"/>
      <c r="I11" s="122"/>
      <c r="J11" s="122"/>
      <c r="K11" s="122"/>
      <c r="L11" s="122"/>
      <c r="M11" s="122"/>
      <c r="N11" s="122"/>
      <c r="O11" s="122"/>
      <c r="P11" s="122"/>
      <c r="Q11" s="122"/>
      <c r="R11" s="122"/>
      <c r="S11" s="122"/>
      <c r="T11" s="122"/>
    </row>
    <row r="12" spans="1:20" ht="15">
      <c r="A12" s="1290"/>
      <c r="B12" s="1267"/>
      <c r="C12" s="1234"/>
      <c r="D12" s="507" t="s">
        <v>306</v>
      </c>
      <c r="E12" s="280">
        <f>(E6-E8)/E10</f>
        <v>492.45166666666665</v>
      </c>
      <c r="F12" s="507" t="s">
        <v>314</v>
      </c>
      <c r="G12" s="1237"/>
      <c r="H12" s="122"/>
      <c r="I12" s="122"/>
      <c r="J12" s="122"/>
      <c r="K12" s="122"/>
      <c r="L12" s="122"/>
      <c r="M12" s="122"/>
      <c r="N12" s="122"/>
      <c r="O12" s="122"/>
      <c r="P12" s="122"/>
      <c r="Q12" s="122"/>
      <c r="R12" s="122"/>
      <c r="S12" s="122"/>
      <c r="T12" s="122"/>
    </row>
    <row r="13" spans="1:20" ht="30" customHeight="1">
      <c r="A13" s="1290"/>
      <c r="B13" s="1267" t="s">
        <v>387</v>
      </c>
      <c r="C13" s="1234" t="s">
        <v>316</v>
      </c>
      <c r="D13" s="507" t="s">
        <v>317</v>
      </c>
      <c r="E13" s="210">
        <v>9</v>
      </c>
      <c r="F13" s="507" t="s">
        <v>318</v>
      </c>
      <c r="G13" s="1269" t="s">
        <v>319</v>
      </c>
      <c r="H13" s="122"/>
      <c r="I13" s="122"/>
      <c r="J13" s="122"/>
      <c r="K13" s="122"/>
      <c r="L13" s="122"/>
      <c r="M13" s="122"/>
      <c r="N13" s="122"/>
      <c r="O13" s="122"/>
      <c r="P13" s="122"/>
      <c r="Q13" s="122"/>
      <c r="R13" s="122"/>
      <c r="S13" s="122"/>
      <c r="T13" s="122"/>
    </row>
    <row r="14" spans="1:20" ht="15">
      <c r="A14" s="1290"/>
      <c r="B14" s="1267"/>
      <c r="C14" s="1234"/>
      <c r="D14" s="499" t="s">
        <v>306</v>
      </c>
      <c r="E14" s="210">
        <v>9</v>
      </c>
      <c r="F14" s="499" t="s">
        <v>318</v>
      </c>
      <c r="G14" s="1269"/>
      <c r="H14" s="122"/>
      <c r="I14" s="122"/>
      <c r="J14" s="122"/>
      <c r="K14" s="122"/>
      <c r="L14" s="122"/>
      <c r="M14" s="122"/>
      <c r="N14" s="122"/>
      <c r="O14" s="122"/>
      <c r="P14" s="122"/>
      <c r="Q14" s="122"/>
      <c r="R14" s="122"/>
      <c r="S14" s="122"/>
      <c r="T14" s="122"/>
    </row>
    <row r="15" spans="1:20" ht="30">
      <c r="A15" s="1290"/>
      <c r="B15" s="1267"/>
      <c r="C15" s="1234" t="s">
        <v>320</v>
      </c>
      <c r="D15" s="507" t="s">
        <v>317</v>
      </c>
      <c r="E15" s="208">
        <f>E5-(E11*12)</f>
        <v>271833.32</v>
      </c>
      <c r="F15" s="507" t="s">
        <v>305</v>
      </c>
      <c r="G15" s="1269"/>
      <c r="H15" s="122"/>
      <c r="I15" s="122"/>
      <c r="J15" s="122"/>
      <c r="K15" s="122"/>
      <c r="L15" s="122"/>
      <c r="M15" s="122"/>
      <c r="N15" s="122"/>
      <c r="O15" s="122"/>
      <c r="P15" s="122"/>
      <c r="Q15" s="122"/>
      <c r="R15" s="122"/>
      <c r="S15" s="122"/>
      <c r="T15" s="122"/>
    </row>
    <row r="16" spans="1:20" ht="15">
      <c r="A16" s="1290"/>
      <c r="B16" s="1267"/>
      <c r="C16" s="1234"/>
      <c r="D16" s="499" t="s">
        <v>306</v>
      </c>
      <c r="E16" s="208">
        <f>E6-(E12*12)</f>
        <v>67958.33</v>
      </c>
      <c r="F16" s="507" t="s">
        <v>305</v>
      </c>
      <c r="G16" s="1269"/>
      <c r="H16" s="122"/>
      <c r="I16" s="122"/>
      <c r="J16" s="122"/>
      <c r="K16" s="122"/>
      <c r="L16" s="122"/>
      <c r="M16" s="122"/>
      <c r="N16" s="122"/>
      <c r="O16" s="122"/>
      <c r="P16" s="122"/>
      <c r="Q16" s="122"/>
      <c r="R16" s="122"/>
      <c r="S16" s="122"/>
      <c r="T16" s="122"/>
    </row>
    <row r="17" spans="1:20" ht="30">
      <c r="A17" s="1290"/>
      <c r="B17" s="1267"/>
      <c r="C17" s="1234" t="s">
        <v>321</v>
      </c>
      <c r="D17" s="507" t="s">
        <v>317</v>
      </c>
      <c r="E17" s="210">
        <v>1</v>
      </c>
      <c r="F17" s="507" t="s">
        <v>318</v>
      </c>
      <c r="G17" s="1269"/>
      <c r="H17" s="122"/>
      <c r="I17" s="122"/>
      <c r="J17" s="122"/>
      <c r="K17" s="122"/>
      <c r="L17" s="122"/>
      <c r="M17" s="122"/>
      <c r="N17" s="122"/>
      <c r="O17" s="122"/>
      <c r="P17" s="122"/>
      <c r="Q17" s="122"/>
      <c r="R17" s="122"/>
      <c r="S17" s="122"/>
      <c r="T17" s="122"/>
    </row>
    <row r="18" spans="1:20" ht="15">
      <c r="A18" s="1290"/>
      <c r="B18" s="1267"/>
      <c r="C18" s="1234"/>
      <c r="D18" s="499" t="s">
        <v>306</v>
      </c>
      <c r="E18" s="210">
        <v>1</v>
      </c>
      <c r="F18" s="507" t="s">
        <v>318</v>
      </c>
      <c r="G18" s="1269"/>
      <c r="H18" s="122"/>
      <c r="I18" s="122"/>
      <c r="J18" s="122"/>
      <c r="K18" s="122"/>
      <c r="L18" s="122"/>
      <c r="M18" s="122"/>
      <c r="N18" s="122"/>
      <c r="O18" s="122"/>
      <c r="P18" s="122"/>
      <c r="Q18" s="122"/>
      <c r="R18" s="122"/>
      <c r="S18" s="122"/>
      <c r="T18" s="122"/>
    </row>
    <row r="19" spans="1:20" ht="30">
      <c r="A19" s="1290"/>
      <c r="B19" s="1267"/>
      <c r="C19" s="1234" t="s">
        <v>322</v>
      </c>
      <c r="D19" s="507" t="s">
        <v>317</v>
      </c>
      <c r="E19" s="212">
        <f>((E15-E7)*(E17+1)/2*E17)+E7</f>
        <v>271833.32</v>
      </c>
      <c r="F19" s="507" t="s">
        <v>305</v>
      </c>
      <c r="G19" s="1235" t="s">
        <v>323</v>
      </c>
      <c r="H19" s="122"/>
      <c r="I19" s="122"/>
      <c r="J19" s="122"/>
      <c r="K19" s="122"/>
      <c r="L19" s="122"/>
      <c r="M19" s="122"/>
      <c r="N19" s="122"/>
      <c r="O19" s="122"/>
      <c r="P19" s="122"/>
      <c r="Q19" s="122"/>
      <c r="R19" s="122"/>
      <c r="S19" s="122"/>
      <c r="T19" s="122"/>
    </row>
    <row r="20" spans="1:20" ht="15">
      <c r="A20" s="1290"/>
      <c r="B20" s="1267"/>
      <c r="C20" s="1234"/>
      <c r="D20" s="499" t="s">
        <v>306</v>
      </c>
      <c r="E20" s="212">
        <f>((E16-E8)*(E18+1)/2*E18)+E8</f>
        <v>67958.33</v>
      </c>
      <c r="F20" s="507" t="s">
        <v>305</v>
      </c>
      <c r="G20" s="1236"/>
      <c r="H20" s="122"/>
      <c r="I20" s="122"/>
      <c r="J20" s="122"/>
      <c r="K20" s="122"/>
      <c r="L20" s="122"/>
      <c r="M20" s="122"/>
      <c r="N20" s="122"/>
      <c r="O20" s="122"/>
      <c r="P20" s="122"/>
      <c r="Q20" s="122"/>
      <c r="R20" s="122"/>
      <c r="S20" s="122"/>
      <c r="T20" s="122"/>
    </row>
    <row r="21" spans="1:20" ht="45">
      <c r="A21" s="1290"/>
      <c r="B21" s="1267"/>
      <c r="C21" s="507" t="s">
        <v>324</v>
      </c>
      <c r="D21" s="499" t="s">
        <v>16</v>
      </c>
      <c r="E21" s="213">
        <f>SELIC</f>
        <v>0.14649999999999999</v>
      </c>
      <c r="F21" s="499" t="s">
        <v>325</v>
      </c>
      <c r="G21" s="510" t="s">
        <v>326</v>
      </c>
      <c r="H21" s="122"/>
      <c r="I21" s="122"/>
      <c r="J21" s="122"/>
      <c r="K21" s="122"/>
      <c r="L21" s="122"/>
      <c r="M21" s="122"/>
      <c r="N21" s="122"/>
      <c r="O21" s="122"/>
      <c r="P21" s="122"/>
      <c r="Q21" s="122"/>
      <c r="R21" s="122"/>
      <c r="S21" s="122"/>
      <c r="T21" s="122"/>
    </row>
    <row r="22" spans="1:20" ht="30">
      <c r="A22" s="1290"/>
      <c r="B22" s="1267"/>
      <c r="C22" s="1234" t="s">
        <v>327</v>
      </c>
      <c r="D22" s="507" t="s">
        <v>317</v>
      </c>
      <c r="E22" s="212">
        <f>(E19*E21)/12</f>
        <v>3318.6317816666665</v>
      </c>
      <c r="F22" s="507" t="s">
        <v>305</v>
      </c>
      <c r="G22" s="1237" t="s">
        <v>328</v>
      </c>
      <c r="H22" s="122"/>
      <c r="I22" s="122"/>
      <c r="J22" s="122"/>
      <c r="K22" s="122"/>
      <c r="L22" s="122"/>
      <c r="M22" s="122"/>
      <c r="N22" s="122"/>
      <c r="O22" s="122"/>
      <c r="P22" s="122"/>
      <c r="Q22" s="122"/>
      <c r="R22" s="122"/>
      <c r="S22" s="122"/>
      <c r="T22" s="122"/>
    </row>
    <row r="23" spans="1:20" ht="15">
      <c r="A23" s="1290"/>
      <c r="B23" s="1267"/>
      <c r="C23" s="1234"/>
      <c r="D23" s="499" t="s">
        <v>306</v>
      </c>
      <c r="E23" s="212">
        <f>(E20*E21)/12</f>
        <v>829.65794541666662</v>
      </c>
      <c r="F23" s="507" t="s">
        <v>305</v>
      </c>
      <c r="G23" s="1237"/>
      <c r="H23" s="122"/>
      <c r="I23" s="122"/>
      <c r="J23" s="122"/>
      <c r="K23" s="122"/>
      <c r="L23" s="122"/>
      <c r="M23" s="122"/>
      <c r="N23" s="122"/>
      <c r="O23" s="122"/>
      <c r="P23" s="122"/>
      <c r="Q23" s="122"/>
      <c r="R23" s="122"/>
      <c r="S23" s="122"/>
      <c r="T23" s="122"/>
    </row>
    <row r="24" spans="1:20" ht="60">
      <c r="A24" s="1290"/>
      <c r="B24" s="1274" t="s">
        <v>388</v>
      </c>
      <c r="C24" s="507" t="s">
        <v>329</v>
      </c>
      <c r="D24" s="507" t="s">
        <v>317</v>
      </c>
      <c r="E24" s="213">
        <v>0.01</v>
      </c>
      <c r="F24" s="507" t="s">
        <v>330</v>
      </c>
      <c r="G24" s="510" t="s">
        <v>331</v>
      </c>
      <c r="H24" s="122"/>
      <c r="I24" s="122"/>
      <c r="J24" s="122"/>
      <c r="K24" s="122"/>
      <c r="L24" s="122"/>
      <c r="M24" s="122"/>
      <c r="N24" s="122"/>
      <c r="O24" s="122"/>
      <c r="P24" s="122"/>
      <c r="Q24" s="122"/>
      <c r="R24" s="122"/>
      <c r="S24" s="122"/>
      <c r="T24" s="122"/>
    </row>
    <row r="25" spans="1:20" ht="60">
      <c r="A25" s="1290"/>
      <c r="B25" s="1275"/>
      <c r="C25" s="507" t="s">
        <v>332</v>
      </c>
      <c r="D25" s="507" t="s">
        <v>317</v>
      </c>
      <c r="E25" s="212">
        <f>E15</f>
        <v>271833.32</v>
      </c>
      <c r="F25" s="507" t="s">
        <v>305</v>
      </c>
      <c r="G25" s="506" t="s">
        <v>16</v>
      </c>
      <c r="H25" s="122"/>
      <c r="I25" s="122"/>
      <c r="J25" s="122"/>
      <c r="K25" s="122"/>
      <c r="L25" s="122"/>
      <c r="M25" s="122"/>
      <c r="N25" s="122"/>
      <c r="O25" s="122"/>
      <c r="P25" s="122"/>
      <c r="Q25" s="122"/>
      <c r="R25" s="122"/>
      <c r="S25" s="122"/>
      <c r="T25" s="122"/>
    </row>
    <row r="26" spans="1:20" ht="30">
      <c r="A26" s="1290"/>
      <c r="B26" s="1275"/>
      <c r="C26" s="499" t="s">
        <v>334</v>
      </c>
      <c r="D26" s="507" t="s">
        <v>317</v>
      </c>
      <c r="E26" s="212">
        <f>(E15*E24)/12</f>
        <v>226.52776666666668</v>
      </c>
      <c r="F26" s="507" t="s">
        <v>314</v>
      </c>
      <c r="G26" s="506" t="s">
        <v>333</v>
      </c>
      <c r="H26" s="122"/>
      <c r="I26" s="122"/>
      <c r="J26" s="122"/>
      <c r="K26" s="122"/>
      <c r="L26" s="122"/>
      <c r="M26" s="122"/>
      <c r="N26" s="122"/>
      <c r="O26" s="122"/>
      <c r="P26" s="122"/>
      <c r="Q26" s="122"/>
      <c r="R26" s="122"/>
      <c r="S26" s="122"/>
      <c r="T26" s="122"/>
    </row>
    <row r="27" spans="1:20" ht="30" customHeight="1">
      <c r="A27" s="1290"/>
      <c r="B27" s="1275"/>
      <c r="C27" s="1276" t="s">
        <v>335</v>
      </c>
      <c r="D27" s="1249" t="s">
        <v>317</v>
      </c>
      <c r="E27" s="214">
        <v>0</v>
      </c>
      <c r="F27" s="507" t="s">
        <v>336</v>
      </c>
      <c r="G27" s="1277" t="s">
        <v>337</v>
      </c>
      <c r="H27" s="122"/>
      <c r="I27" s="122"/>
      <c r="J27" s="122"/>
      <c r="K27" s="122"/>
      <c r="L27" s="122"/>
      <c r="M27" s="122"/>
      <c r="N27" s="122"/>
      <c r="O27" s="122"/>
      <c r="P27" s="122"/>
      <c r="Q27" s="122"/>
      <c r="R27" s="122"/>
      <c r="S27" s="122"/>
      <c r="T27" s="122"/>
    </row>
    <row r="28" spans="1:20" ht="15">
      <c r="A28" s="1290"/>
      <c r="B28" s="1275"/>
      <c r="C28" s="1109"/>
      <c r="D28" s="1250"/>
      <c r="E28" s="214">
        <v>0</v>
      </c>
      <c r="F28" s="507" t="s">
        <v>314</v>
      </c>
      <c r="G28" s="1278"/>
      <c r="H28" s="122"/>
      <c r="I28" s="122"/>
      <c r="J28" s="122"/>
      <c r="K28" s="122"/>
      <c r="L28" s="122"/>
      <c r="M28" s="122"/>
      <c r="N28" s="122"/>
      <c r="O28" s="122"/>
      <c r="P28" s="122"/>
      <c r="Q28" s="122"/>
      <c r="R28" s="122"/>
      <c r="S28" s="122"/>
      <c r="T28" s="122"/>
    </row>
    <row r="29" spans="1:20" ht="15" customHeight="1">
      <c r="A29" s="1290"/>
      <c r="B29" s="1275"/>
      <c r="C29" s="1276" t="s">
        <v>338</v>
      </c>
      <c r="D29" s="1249" t="s">
        <v>317</v>
      </c>
      <c r="E29" s="214">
        <v>35.619999999999997</v>
      </c>
      <c r="F29" s="507" t="s">
        <v>336</v>
      </c>
      <c r="G29" s="1277" t="s">
        <v>339</v>
      </c>
      <c r="H29" s="122"/>
      <c r="I29" s="122"/>
      <c r="J29" s="122"/>
      <c r="K29" s="122"/>
      <c r="L29" s="122"/>
      <c r="M29" s="122"/>
      <c r="N29" s="122"/>
      <c r="O29" s="122"/>
      <c r="P29" s="122"/>
      <c r="Q29" s="122"/>
      <c r="R29" s="122"/>
      <c r="S29" s="122"/>
      <c r="T29" s="122"/>
    </row>
    <row r="30" spans="1:20" ht="15">
      <c r="A30" s="1290"/>
      <c r="B30" s="1275"/>
      <c r="C30" s="1109"/>
      <c r="D30" s="1250"/>
      <c r="E30" s="214">
        <f>E29/12</f>
        <v>2.9683333333333333</v>
      </c>
      <c r="F30" s="507" t="s">
        <v>314</v>
      </c>
      <c r="G30" s="1278"/>
      <c r="H30" s="122"/>
      <c r="I30" s="122"/>
      <c r="J30" s="122"/>
      <c r="K30" s="122"/>
      <c r="L30" s="122"/>
      <c r="M30" s="122"/>
      <c r="N30" s="122"/>
      <c r="O30" s="122"/>
      <c r="P30" s="122"/>
      <c r="Q30" s="122"/>
      <c r="R30" s="122"/>
      <c r="S30" s="122"/>
      <c r="T30" s="122"/>
    </row>
    <row r="31" spans="1:20" ht="15">
      <c r="A31" s="1290"/>
      <c r="B31" s="1275"/>
      <c r="C31" s="1276" t="s">
        <v>340</v>
      </c>
      <c r="D31" s="1249" t="s">
        <v>317</v>
      </c>
      <c r="E31" s="281">
        <f>E5*2%</f>
        <v>5909.42</v>
      </c>
      <c r="F31" s="507" t="s">
        <v>336</v>
      </c>
      <c r="G31" s="1270">
        <v>0.02</v>
      </c>
      <c r="H31" s="122"/>
      <c r="I31" s="122"/>
      <c r="J31" s="122"/>
      <c r="K31" s="122"/>
      <c r="L31" s="122"/>
      <c r="M31" s="122"/>
      <c r="N31" s="122"/>
      <c r="O31" s="122"/>
      <c r="P31" s="122"/>
      <c r="Q31" s="122"/>
      <c r="R31" s="122"/>
      <c r="S31" s="122"/>
      <c r="T31" s="122"/>
    </row>
    <row r="32" spans="1:20" ht="30" customHeight="1">
      <c r="A32" s="1290"/>
      <c r="B32" s="1275"/>
      <c r="C32" s="1109"/>
      <c r="D32" s="1250"/>
      <c r="E32" s="214">
        <f>E31/12</f>
        <v>492.45166666666665</v>
      </c>
      <c r="F32" s="507" t="s">
        <v>314</v>
      </c>
      <c r="G32" s="1271"/>
      <c r="H32" s="122"/>
      <c r="I32" s="122"/>
      <c r="J32" s="122"/>
      <c r="K32" s="122"/>
      <c r="L32" s="122"/>
      <c r="M32" s="122"/>
      <c r="N32" s="122"/>
      <c r="O32" s="122"/>
      <c r="P32" s="122"/>
      <c r="Q32" s="122"/>
      <c r="R32" s="122"/>
      <c r="S32" s="122"/>
      <c r="T32" s="122"/>
    </row>
    <row r="33" spans="1:20" ht="45.75" thickBot="1">
      <c r="A33" s="1290"/>
      <c r="B33" s="1275"/>
      <c r="C33" s="1272" t="s">
        <v>424</v>
      </c>
      <c r="D33" s="1273"/>
      <c r="E33" s="215">
        <f>E26+E28+E30+E32</f>
        <v>721.94776666666667</v>
      </c>
      <c r="F33" s="503" t="s">
        <v>314</v>
      </c>
      <c r="G33" s="502" t="s">
        <v>342</v>
      </c>
      <c r="H33" s="122"/>
      <c r="I33" s="122"/>
      <c r="J33" s="122"/>
      <c r="K33" s="122"/>
      <c r="L33" s="122"/>
      <c r="M33" s="122"/>
      <c r="N33" s="122"/>
      <c r="O33" s="122"/>
      <c r="P33" s="122"/>
      <c r="Q33" s="122"/>
      <c r="R33" s="122"/>
      <c r="S33" s="122"/>
      <c r="T33" s="122"/>
    </row>
    <row r="34" spans="1:20" ht="41.25" customHeight="1">
      <c r="A34" s="1291"/>
      <c r="B34" s="1292" t="s">
        <v>423</v>
      </c>
      <c r="C34" s="1293"/>
      <c r="D34" s="1294"/>
      <c r="E34" s="880">
        <f>(E11+E12)+(E22+E23)+E33</f>
        <v>7332.4958270833322</v>
      </c>
      <c r="F34" s="225" t="s">
        <v>314</v>
      </c>
      <c r="G34" s="881" t="s">
        <v>378</v>
      </c>
      <c r="H34" s="122"/>
      <c r="I34" s="122"/>
      <c r="J34" s="122"/>
      <c r="K34" s="122"/>
      <c r="L34" s="122"/>
      <c r="M34" s="122"/>
      <c r="N34" s="122"/>
      <c r="O34" s="122"/>
      <c r="P34" s="122"/>
      <c r="Q34" s="122"/>
      <c r="R34" s="122"/>
      <c r="S34" s="122"/>
      <c r="T34" s="122"/>
    </row>
    <row r="35" spans="1:20" ht="159.75" customHeight="1">
      <c r="A35" s="1295" t="s">
        <v>427</v>
      </c>
      <c r="B35" s="1242" t="s">
        <v>385</v>
      </c>
      <c r="C35" s="1245" t="s">
        <v>343</v>
      </c>
      <c r="D35" s="507" t="s">
        <v>344</v>
      </c>
      <c r="E35" s="1247">
        <v>0.5</v>
      </c>
      <c r="F35" s="499" t="s">
        <v>345</v>
      </c>
      <c r="G35" s="220" t="s">
        <v>346</v>
      </c>
      <c r="H35" s="122"/>
      <c r="I35" s="122"/>
      <c r="J35" s="122"/>
      <c r="K35" s="122"/>
      <c r="L35" s="122"/>
      <c r="M35" s="122"/>
      <c r="N35" s="122"/>
      <c r="O35" s="122"/>
      <c r="P35" s="122"/>
      <c r="Q35" s="122"/>
      <c r="R35" s="122"/>
      <c r="S35" s="122"/>
      <c r="T35" s="122"/>
    </row>
    <row r="36" spans="1:20" ht="75">
      <c r="A36" s="1290"/>
      <c r="B36" s="1243"/>
      <c r="C36" s="1246"/>
      <c r="D36" s="507" t="s">
        <v>347</v>
      </c>
      <c r="E36" s="1248"/>
      <c r="F36" s="499" t="s">
        <v>345</v>
      </c>
      <c r="G36" s="220" t="s">
        <v>382</v>
      </c>
      <c r="H36" s="122"/>
      <c r="I36" s="122"/>
      <c r="J36" s="122"/>
      <c r="K36" s="122"/>
      <c r="L36" s="122"/>
      <c r="M36" s="122"/>
      <c r="N36" s="122"/>
      <c r="O36" s="122"/>
      <c r="P36" s="122"/>
      <c r="Q36" s="122"/>
      <c r="R36" s="122"/>
      <c r="S36" s="122"/>
      <c r="T36" s="122"/>
    </row>
    <row r="37" spans="1:20" ht="105">
      <c r="A37" s="1290"/>
      <c r="B37" s="1243"/>
      <c r="C37" s="507" t="s">
        <v>348</v>
      </c>
      <c r="D37" s="499" t="s">
        <v>349</v>
      </c>
      <c r="E37" s="212">
        <f>[0]!DIESEL</f>
        <v>7.01</v>
      </c>
      <c r="F37" s="499" t="s">
        <v>350</v>
      </c>
      <c r="G37" s="220" t="s">
        <v>398</v>
      </c>
      <c r="H37" s="122"/>
      <c r="I37" s="122"/>
      <c r="J37" s="122"/>
      <c r="K37" s="122"/>
      <c r="L37" s="122"/>
      <c r="M37" s="122"/>
      <c r="N37" s="122"/>
      <c r="O37" s="122"/>
      <c r="P37" s="122"/>
      <c r="Q37" s="122"/>
      <c r="R37" s="122"/>
      <c r="S37" s="122"/>
      <c r="T37" s="122"/>
    </row>
    <row r="38" spans="1:20" ht="30" customHeight="1">
      <c r="A38" s="1290"/>
      <c r="B38" s="1243"/>
      <c r="C38" s="1249" t="s">
        <v>351</v>
      </c>
      <c r="D38" s="507" t="s">
        <v>344</v>
      </c>
      <c r="E38" s="1251">
        <f>E35*E37</f>
        <v>3.5049999999999999</v>
      </c>
      <c r="F38" s="499" t="s">
        <v>352</v>
      </c>
      <c r="G38" s="1277" t="s">
        <v>353</v>
      </c>
      <c r="H38" s="122"/>
      <c r="I38" s="122"/>
      <c r="J38" s="122"/>
      <c r="K38" s="122"/>
      <c r="L38" s="122"/>
      <c r="M38" s="122"/>
      <c r="N38" s="122"/>
      <c r="O38" s="122"/>
      <c r="P38" s="122"/>
      <c r="Q38" s="122"/>
      <c r="R38" s="122"/>
      <c r="S38" s="122"/>
      <c r="T38" s="122"/>
    </row>
    <row r="39" spans="1:20" ht="75">
      <c r="A39" s="1290"/>
      <c r="B39" s="1243"/>
      <c r="C39" s="1250"/>
      <c r="D39" s="507" t="s">
        <v>347</v>
      </c>
      <c r="E39" s="1252"/>
      <c r="F39" s="499" t="s">
        <v>352</v>
      </c>
      <c r="G39" s="1278"/>
      <c r="H39" s="122"/>
      <c r="I39" s="122"/>
      <c r="J39" s="122"/>
      <c r="K39" s="122"/>
      <c r="L39" s="122"/>
      <c r="M39" s="122"/>
      <c r="N39" s="122"/>
      <c r="O39" s="122"/>
      <c r="P39" s="122"/>
      <c r="Q39" s="122"/>
      <c r="R39" s="122"/>
      <c r="S39" s="122"/>
      <c r="T39" s="122"/>
    </row>
    <row r="40" spans="1:20" ht="30" customHeight="1">
      <c r="A40" s="1290"/>
      <c r="B40" s="1243"/>
      <c r="C40" s="1249" t="s">
        <v>354</v>
      </c>
      <c r="D40" s="507" t="s">
        <v>344</v>
      </c>
      <c r="E40" s="1247">
        <f>TRUNC(('COLETA URBANA'!$K$10)/2,2)</f>
        <v>1568.18</v>
      </c>
      <c r="F40" s="499" t="s">
        <v>9</v>
      </c>
      <c r="G40" s="1277" t="s">
        <v>401</v>
      </c>
      <c r="H40" s="122"/>
      <c r="I40" s="122"/>
      <c r="J40" s="122"/>
      <c r="K40" s="122"/>
      <c r="L40" s="122"/>
      <c r="M40" s="122"/>
      <c r="N40" s="122"/>
      <c r="O40" s="122"/>
      <c r="P40" s="122"/>
      <c r="Q40" s="122"/>
      <c r="R40" s="122"/>
      <c r="S40" s="122"/>
      <c r="T40" s="122"/>
    </row>
    <row r="41" spans="1:20" ht="75">
      <c r="A41" s="1290"/>
      <c r="B41" s="1243"/>
      <c r="C41" s="1250"/>
      <c r="D41" s="507" t="s">
        <v>347</v>
      </c>
      <c r="E41" s="1248"/>
      <c r="F41" s="499" t="s">
        <v>9</v>
      </c>
      <c r="G41" s="1278"/>
      <c r="H41" s="122"/>
      <c r="I41" s="122"/>
      <c r="J41" s="122"/>
      <c r="K41" s="122"/>
      <c r="L41" s="122"/>
      <c r="M41" s="122"/>
      <c r="N41" s="122"/>
      <c r="O41" s="122"/>
      <c r="P41" s="122"/>
      <c r="Q41" s="122"/>
      <c r="R41" s="122"/>
      <c r="S41" s="122"/>
      <c r="T41" s="122"/>
    </row>
    <row r="42" spans="1:20" ht="45" customHeight="1">
      <c r="A42" s="1290"/>
      <c r="B42" s="1243"/>
      <c r="C42" s="1249" t="s">
        <v>355</v>
      </c>
      <c r="D42" s="507" t="s">
        <v>344</v>
      </c>
      <c r="E42" s="214">
        <f>TRUNC((E38*E40),2)</f>
        <v>5496.47</v>
      </c>
      <c r="F42" s="499" t="s">
        <v>352</v>
      </c>
      <c r="G42" s="1235" t="s">
        <v>356</v>
      </c>
      <c r="H42" s="122"/>
      <c r="I42" s="122"/>
      <c r="J42" s="122"/>
      <c r="K42" s="122"/>
      <c r="L42" s="122"/>
      <c r="M42" s="122"/>
      <c r="N42" s="122"/>
      <c r="O42" s="122"/>
      <c r="P42" s="122"/>
      <c r="Q42" s="122"/>
      <c r="R42" s="122"/>
      <c r="S42" s="122"/>
      <c r="T42" s="122"/>
    </row>
    <row r="43" spans="1:20" ht="75">
      <c r="A43" s="1290"/>
      <c r="B43" s="1244"/>
      <c r="C43" s="1250"/>
      <c r="D43" s="507" t="s">
        <v>347</v>
      </c>
      <c r="E43" s="214">
        <f>E39*E41</f>
        <v>0</v>
      </c>
      <c r="F43" s="499" t="s">
        <v>352</v>
      </c>
      <c r="G43" s="1236"/>
      <c r="H43" s="122"/>
      <c r="I43" s="122"/>
      <c r="J43" s="122"/>
      <c r="K43" s="122"/>
      <c r="L43" s="122"/>
      <c r="M43" s="122"/>
      <c r="N43" s="122"/>
      <c r="O43" s="122"/>
      <c r="P43" s="122"/>
      <c r="Q43" s="122"/>
      <c r="R43" s="122"/>
      <c r="S43" s="122"/>
      <c r="T43" s="122"/>
    </row>
    <row r="44" spans="1:20" ht="28.5" customHeight="1">
      <c r="A44" s="1290"/>
      <c r="B44" s="509" t="s">
        <v>384</v>
      </c>
      <c r="C44" s="507" t="s">
        <v>357</v>
      </c>
      <c r="D44" s="507" t="s">
        <v>317</v>
      </c>
      <c r="E44" s="214">
        <f>SUM(E42:E43)*0.1</f>
        <v>549.64700000000005</v>
      </c>
      <c r="F44" s="499" t="s">
        <v>352</v>
      </c>
      <c r="G44" s="508" t="s">
        <v>358</v>
      </c>
      <c r="H44" s="122"/>
      <c r="I44" s="122"/>
      <c r="J44" s="122"/>
      <c r="K44" s="122"/>
      <c r="L44" s="122"/>
      <c r="M44" s="122"/>
      <c r="N44" s="122"/>
      <c r="O44" s="122"/>
      <c r="P44" s="122"/>
      <c r="Q44" s="122"/>
      <c r="R44" s="122"/>
      <c r="S44" s="122"/>
      <c r="T44" s="122"/>
    </row>
    <row r="45" spans="1:20" ht="60" customHeight="1">
      <c r="A45" s="1290"/>
      <c r="B45" s="1274" t="s">
        <v>383</v>
      </c>
      <c r="C45" s="499" t="s">
        <v>359</v>
      </c>
      <c r="D45" s="507" t="s">
        <v>317</v>
      </c>
      <c r="E45" s="212">
        <f>C171</f>
        <v>2374.39</v>
      </c>
      <c r="F45" s="499" t="s">
        <v>305</v>
      </c>
      <c r="G45" s="1277" t="s">
        <v>603</v>
      </c>
      <c r="H45" s="122"/>
      <c r="I45" s="122"/>
      <c r="J45" s="122"/>
      <c r="K45" s="122"/>
      <c r="L45" s="122"/>
      <c r="M45" s="122"/>
      <c r="N45" s="122"/>
      <c r="O45" s="122"/>
      <c r="P45" s="122"/>
      <c r="Q45" s="122"/>
      <c r="R45" s="122"/>
      <c r="S45" s="122"/>
      <c r="T45" s="122"/>
    </row>
    <row r="46" spans="1:20" ht="30">
      <c r="A46" s="1290"/>
      <c r="B46" s="1275"/>
      <c r="C46" s="499" t="s">
        <v>360</v>
      </c>
      <c r="D46" s="507" t="s">
        <v>317</v>
      </c>
      <c r="E46" s="212">
        <v>0</v>
      </c>
      <c r="F46" s="499" t="s">
        <v>305</v>
      </c>
      <c r="G46" s="1301"/>
      <c r="H46" s="122"/>
      <c r="I46" s="122"/>
      <c r="J46" s="122"/>
      <c r="K46" s="122"/>
      <c r="L46" s="122"/>
      <c r="M46" s="122"/>
      <c r="N46" s="122"/>
      <c r="O46" s="122"/>
      <c r="P46" s="122"/>
      <c r="Q46" s="122"/>
      <c r="R46" s="122"/>
      <c r="S46" s="122"/>
      <c r="T46" s="122"/>
    </row>
    <row r="47" spans="1:20" ht="30">
      <c r="A47" s="1290"/>
      <c r="B47" s="1275"/>
      <c r="C47" s="507" t="s">
        <v>361</v>
      </c>
      <c r="D47" s="507" t="s">
        <v>317</v>
      </c>
      <c r="E47" s="212">
        <v>0</v>
      </c>
      <c r="F47" s="499" t="s">
        <v>305</v>
      </c>
      <c r="G47" s="1278"/>
      <c r="H47" s="122"/>
      <c r="I47" s="122"/>
      <c r="J47" s="122"/>
      <c r="K47" s="122"/>
      <c r="L47" s="122"/>
      <c r="M47" s="122"/>
      <c r="N47" s="122"/>
      <c r="O47" s="122"/>
      <c r="P47" s="122"/>
      <c r="Q47" s="122"/>
      <c r="R47" s="122"/>
      <c r="S47" s="122"/>
      <c r="T47" s="122"/>
    </row>
    <row r="48" spans="1:20" ht="45">
      <c r="A48" s="1290"/>
      <c r="B48" s="1275"/>
      <c r="C48" s="507" t="s">
        <v>363</v>
      </c>
      <c r="D48" s="507" t="s">
        <v>317</v>
      </c>
      <c r="E48" s="221">
        <v>10</v>
      </c>
      <c r="F48" s="368" t="s">
        <v>362</v>
      </c>
      <c r="G48" s="510" t="s">
        <v>364</v>
      </c>
      <c r="H48" s="122"/>
      <c r="I48" s="122"/>
      <c r="J48" s="122"/>
      <c r="K48" s="122"/>
      <c r="L48" s="122"/>
      <c r="M48" s="122"/>
      <c r="N48" s="122"/>
      <c r="O48" s="122"/>
      <c r="P48" s="122"/>
      <c r="Q48" s="122"/>
      <c r="R48" s="122"/>
      <c r="S48" s="122"/>
      <c r="T48" s="122"/>
    </row>
    <row r="49" spans="1:20" ht="75">
      <c r="A49" s="1290"/>
      <c r="B49" s="1275"/>
      <c r="C49" s="507" t="s">
        <v>365</v>
      </c>
      <c r="D49" s="507" t="s">
        <v>317</v>
      </c>
      <c r="E49" s="214">
        <v>850</v>
      </c>
      <c r="F49" s="507" t="s">
        <v>305</v>
      </c>
      <c r="G49" s="510" t="s">
        <v>395</v>
      </c>
      <c r="H49" s="122"/>
      <c r="I49" s="122"/>
      <c r="J49" s="122"/>
      <c r="K49" s="122"/>
      <c r="L49" s="122"/>
      <c r="M49" s="122"/>
      <c r="N49" s="122"/>
      <c r="O49" s="122"/>
      <c r="P49" s="122"/>
      <c r="Q49" s="122"/>
      <c r="R49" s="122"/>
      <c r="S49" s="122"/>
      <c r="T49" s="122"/>
    </row>
    <row r="50" spans="1:20" ht="58.5" customHeight="1">
      <c r="A50" s="1290"/>
      <c r="B50" s="1275"/>
      <c r="C50" s="507" t="s">
        <v>366</v>
      </c>
      <c r="D50" s="507" t="s">
        <v>317</v>
      </c>
      <c r="E50" s="221">
        <v>30000</v>
      </c>
      <c r="F50" s="507" t="s">
        <v>164</v>
      </c>
      <c r="G50" s="1302" t="s">
        <v>394</v>
      </c>
      <c r="H50" s="122"/>
      <c r="I50" s="122"/>
      <c r="J50" s="122"/>
      <c r="K50" s="122"/>
      <c r="L50" s="122"/>
      <c r="M50" s="122"/>
      <c r="N50" s="122"/>
      <c r="O50" s="122"/>
      <c r="P50" s="122"/>
      <c r="Q50" s="122"/>
      <c r="R50" s="122"/>
      <c r="S50" s="122"/>
      <c r="T50" s="122"/>
    </row>
    <row r="51" spans="1:20" ht="57.75" customHeight="1">
      <c r="A51" s="1290"/>
      <c r="B51" s="1275"/>
      <c r="C51" s="507" t="s">
        <v>367</v>
      </c>
      <c r="D51" s="507" t="s">
        <v>317</v>
      </c>
      <c r="E51" s="221">
        <v>20000</v>
      </c>
      <c r="F51" s="507" t="s">
        <v>164</v>
      </c>
      <c r="G51" s="1303"/>
      <c r="H51" s="122"/>
      <c r="I51" s="122"/>
      <c r="J51" s="122"/>
      <c r="K51" s="122"/>
      <c r="L51" s="122"/>
      <c r="M51" s="122"/>
      <c r="N51" s="122"/>
      <c r="O51" s="122"/>
      <c r="P51" s="122"/>
      <c r="Q51" s="122"/>
      <c r="R51" s="122"/>
      <c r="S51" s="122"/>
      <c r="T51" s="122"/>
    </row>
    <row r="52" spans="1:20" ht="60">
      <c r="A52" s="1290"/>
      <c r="B52" s="1275"/>
      <c r="C52" s="507" t="s">
        <v>368</v>
      </c>
      <c r="D52" s="507" t="s">
        <v>317</v>
      </c>
      <c r="E52" s="214">
        <f>TRUNC(((1.2*(E45+E46+E47)*E48)+(E49*E48))/(E50+E51),2)</f>
        <v>0.73</v>
      </c>
      <c r="F52" s="507" t="s">
        <v>369</v>
      </c>
      <c r="G52" s="510" t="s">
        <v>370</v>
      </c>
      <c r="H52" s="122"/>
      <c r="I52" s="122"/>
      <c r="J52" s="122"/>
      <c r="K52" s="122"/>
      <c r="L52" s="122"/>
      <c r="M52" s="122"/>
      <c r="N52" s="122"/>
      <c r="O52" s="122"/>
      <c r="P52" s="122"/>
      <c r="Q52" s="122"/>
      <c r="R52" s="122"/>
      <c r="S52" s="122"/>
      <c r="T52" s="122"/>
    </row>
    <row r="53" spans="1:20" ht="45">
      <c r="A53" s="1290"/>
      <c r="B53" s="1275"/>
      <c r="C53" s="507" t="s">
        <v>371</v>
      </c>
      <c r="D53" s="507" t="s">
        <v>317</v>
      </c>
      <c r="E53" s="221">
        <f>SUM(E40,E41)</f>
        <v>1568.18</v>
      </c>
      <c r="F53" s="507" t="s">
        <v>372</v>
      </c>
      <c r="G53" s="508" t="s">
        <v>16</v>
      </c>
      <c r="H53" s="122"/>
      <c r="I53" s="122"/>
      <c r="J53" s="122"/>
      <c r="K53" s="122"/>
      <c r="L53" s="122"/>
      <c r="M53" s="122"/>
      <c r="N53" s="122"/>
      <c r="O53" s="122"/>
      <c r="P53" s="122"/>
      <c r="Q53" s="122"/>
      <c r="R53" s="122"/>
      <c r="S53" s="122"/>
      <c r="T53" s="122"/>
    </row>
    <row r="54" spans="1:20" ht="30">
      <c r="A54" s="1290"/>
      <c r="B54" s="1288"/>
      <c r="C54" s="507" t="s">
        <v>373</v>
      </c>
      <c r="D54" s="507" t="s">
        <v>317</v>
      </c>
      <c r="E54" s="214">
        <f>TRUNC(E53*E52,2)</f>
        <v>1144.77</v>
      </c>
      <c r="F54" s="507" t="s">
        <v>314</v>
      </c>
      <c r="G54" s="508" t="s">
        <v>374</v>
      </c>
      <c r="H54" s="122"/>
      <c r="I54" s="122"/>
      <c r="J54" s="122"/>
      <c r="K54" s="122"/>
      <c r="L54" s="122"/>
      <c r="M54" s="122"/>
      <c r="N54" s="122"/>
      <c r="O54" s="122"/>
      <c r="P54" s="122"/>
      <c r="Q54" s="122"/>
      <c r="R54" s="122"/>
      <c r="S54" s="122"/>
      <c r="T54" s="122"/>
    </row>
    <row r="55" spans="1:20" ht="105">
      <c r="A55" s="1290"/>
      <c r="B55" s="1274" t="s">
        <v>389</v>
      </c>
      <c r="C55" s="507" t="s">
        <v>375</v>
      </c>
      <c r="D55" s="507" t="s">
        <v>317</v>
      </c>
      <c r="E55" s="212">
        <f>(E5+E6)-(E45*6)</f>
        <v>355092.41</v>
      </c>
      <c r="F55" s="507" t="s">
        <v>305</v>
      </c>
      <c r="G55" s="510" t="s">
        <v>393</v>
      </c>
      <c r="H55" s="122"/>
      <c r="I55" s="122"/>
      <c r="J55" s="122"/>
      <c r="K55" s="122"/>
      <c r="L55" s="122"/>
      <c r="M55" s="122"/>
      <c r="N55" s="122"/>
      <c r="O55" s="122"/>
      <c r="P55" s="122"/>
      <c r="Q55" s="122"/>
      <c r="R55" s="122"/>
      <c r="S55" s="122"/>
      <c r="T55" s="122"/>
    </row>
    <row r="56" spans="1:20" ht="60">
      <c r="A56" s="1290"/>
      <c r="B56" s="1275"/>
      <c r="C56" s="507" t="s">
        <v>376</v>
      </c>
      <c r="D56" s="507" t="s">
        <v>317</v>
      </c>
      <c r="E56" s="210">
        <v>0.9</v>
      </c>
      <c r="F56" s="507" t="s">
        <v>16</v>
      </c>
      <c r="G56" s="510" t="s">
        <v>392</v>
      </c>
      <c r="H56" s="122"/>
      <c r="I56" s="122"/>
      <c r="J56" s="122"/>
      <c r="K56" s="122"/>
      <c r="L56" s="122"/>
      <c r="M56" s="122"/>
      <c r="N56" s="122"/>
      <c r="O56" s="122"/>
      <c r="P56" s="122"/>
      <c r="Q56" s="122"/>
      <c r="R56" s="122"/>
      <c r="S56" s="122"/>
      <c r="T56" s="122"/>
    </row>
    <row r="57" spans="1:20" ht="180.75" thickBot="1">
      <c r="A57" s="1290"/>
      <c r="B57" s="1297"/>
      <c r="C57" s="884" t="s">
        <v>377</v>
      </c>
      <c r="D57" s="884" t="s">
        <v>317</v>
      </c>
      <c r="E57" s="885">
        <f>TRUNC((E55*E56)/E9,2)</f>
        <v>2663.19</v>
      </c>
      <c r="F57" s="500" t="s">
        <v>314</v>
      </c>
      <c r="G57" s="886" t="s">
        <v>391</v>
      </c>
      <c r="H57" s="122"/>
      <c r="I57" s="122"/>
      <c r="J57" s="122"/>
      <c r="K57" s="122"/>
      <c r="L57" s="122"/>
      <c r="M57" s="122"/>
      <c r="N57" s="122"/>
      <c r="O57" s="122"/>
      <c r="P57" s="122"/>
      <c r="Q57" s="122"/>
      <c r="R57" s="122"/>
      <c r="S57" s="122"/>
      <c r="T57" s="122"/>
    </row>
    <row r="58" spans="1:20" ht="48" customHeight="1" thickBot="1">
      <c r="A58" s="1296"/>
      <c r="B58" s="1298" t="s">
        <v>425</v>
      </c>
      <c r="C58" s="1299"/>
      <c r="D58" s="1300"/>
      <c r="E58" s="882">
        <f>E42+E44+E54+E57</f>
        <v>9854.0770000000011</v>
      </c>
      <c r="F58" s="217" t="s">
        <v>314</v>
      </c>
      <c r="G58" s="883" t="s">
        <v>380</v>
      </c>
      <c r="H58" s="122"/>
      <c r="I58" s="122"/>
      <c r="J58" s="122"/>
      <c r="K58" s="122"/>
      <c r="L58" s="122"/>
      <c r="M58" s="122"/>
      <c r="N58" s="122"/>
      <c r="O58" s="122"/>
      <c r="P58" s="122"/>
      <c r="Q58" s="122"/>
      <c r="R58" s="122"/>
      <c r="S58" s="122"/>
      <c r="T58" s="122"/>
    </row>
    <row r="59" spans="1:20" ht="37.5">
      <c r="A59" s="1238" t="s">
        <v>381</v>
      </c>
      <c r="B59" s="1239"/>
      <c r="C59" s="1239"/>
      <c r="D59" s="1239"/>
      <c r="E59" s="227">
        <f>(E34+E58)*(1+10%)</f>
        <v>18905.230109791672</v>
      </c>
      <c r="F59" s="228" t="s">
        <v>314</v>
      </c>
      <c r="G59" s="234" t="s">
        <v>429</v>
      </c>
      <c r="H59" s="122"/>
      <c r="I59" s="122"/>
      <c r="J59" s="122"/>
      <c r="K59" s="122"/>
      <c r="L59" s="122"/>
      <c r="M59" s="122"/>
      <c r="N59" s="122"/>
      <c r="O59" s="122"/>
      <c r="P59" s="122"/>
      <c r="Q59" s="122"/>
      <c r="R59" s="122"/>
      <c r="S59" s="122"/>
      <c r="T59" s="122"/>
    </row>
    <row r="60" spans="1:20" ht="19.5" thickBot="1">
      <c r="A60" s="1240"/>
      <c r="B60" s="1241"/>
      <c r="C60" s="1241"/>
      <c r="D60" s="1241"/>
      <c r="E60" s="229">
        <f>E59/E53</f>
        <v>12.055523032937336</v>
      </c>
      <c r="F60" s="230" t="s">
        <v>369</v>
      </c>
      <c r="G60" s="231" t="s">
        <v>403</v>
      </c>
      <c r="H60" s="122"/>
      <c r="I60" s="122"/>
      <c r="J60" s="122"/>
      <c r="K60" s="122"/>
      <c r="L60" s="122"/>
      <c r="M60" s="122"/>
      <c r="N60" s="122"/>
      <c r="O60" s="122"/>
      <c r="P60" s="122"/>
      <c r="Q60" s="122"/>
      <c r="R60" s="122"/>
      <c r="S60" s="122"/>
      <c r="T60" s="122"/>
    </row>
    <row r="61" spans="1:20" ht="18.75">
      <c r="A61" s="657"/>
      <c r="B61" s="657"/>
      <c r="C61" s="657"/>
      <c r="D61" s="657"/>
      <c r="E61" s="658"/>
      <c r="F61" s="657"/>
      <c r="G61" s="657"/>
      <c r="H61" s="271"/>
      <c r="I61" s="271"/>
      <c r="J61" s="271"/>
      <c r="K61" s="271"/>
      <c r="L61" s="271"/>
      <c r="M61" s="271"/>
      <c r="N61" s="271"/>
      <c r="O61" s="271"/>
      <c r="P61" s="271"/>
      <c r="Q61" s="271"/>
      <c r="R61" s="271"/>
      <c r="S61" s="271"/>
      <c r="T61" s="271"/>
    </row>
    <row r="62" spans="1:20" ht="15.75" thickBot="1">
      <c r="A62" s="659"/>
      <c r="B62" s="660"/>
      <c r="C62" s="660"/>
      <c r="D62" s="660"/>
      <c r="E62" s="233"/>
      <c r="F62" s="660"/>
      <c r="G62" s="660"/>
      <c r="H62" s="122"/>
      <c r="I62" s="122"/>
      <c r="J62" s="122"/>
      <c r="K62" s="122"/>
      <c r="L62" s="122"/>
      <c r="M62" s="122"/>
      <c r="N62" s="122"/>
      <c r="O62" s="122"/>
      <c r="P62" s="122"/>
      <c r="Q62" s="122"/>
      <c r="R62" s="122"/>
      <c r="S62" s="122"/>
      <c r="T62" s="122"/>
    </row>
    <row r="63" spans="1:20" ht="15.75" thickBot="1">
      <c r="A63" s="1254" t="s">
        <v>658</v>
      </c>
      <c r="B63" s="1255"/>
      <c r="C63" s="1255"/>
      <c r="D63" s="1255"/>
      <c r="E63" s="1255"/>
      <c r="F63" s="1255"/>
      <c r="G63" s="1256"/>
      <c r="H63" s="122"/>
      <c r="I63" s="122"/>
      <c r="J63" s="122"/>
      <c r="K63" s="122"/>
      <c r="L63" s="122"/>
      <c r="M63" s="122"/>
      <c r="N63" s="122"/>
      <c r="O63" s="122"/>
      <c r="P63" s="122"/>
      <c r="Q63" s="122"/>
      <c r="R63" s="122"/>
      <c r="S63" s="122"/>
      <c r="T63" s="122"/>
    </row>
    <row r="64" spans="1:20" ht="15">
      <c r="A64" s="620"/>
      <c r="B64" s="621"/>
      <c r="C64" s="622"/>
      <c r="D64" s="622"/>
      <c r="E64" s="622"/>
      <c r="F64" s="621"/>
      <c r="G64" s="623"/>
      <c r="H64" s="122"/>
      <c r="I64" s="122"/>
      <c r="J64" s="122"/>
      <c r="K64" s="122"/>
      <c r="L64" s="122"/>
      <c r="M64" s="122"/>
      <c r="N64" s="122"/>
      <c r="O64" s="122"/>
      <c r="P64" s="122"/>
      <c r="Q64" s="122"/>
      <c r="R64" s="122"/>
      <c r="S64" s="122"/>
      <c r="T64" s="122"/>
    </row>
    <row r="65" spans="1:20" ht="15">
      <c r="A65" s="624"/>
      <c r="B65" s="612"/>
      <c r="C65" s="612"/>
      <c r="D65" s="612"/>
      <c r="E65" s="613"/>
      <c r="F65" s="612"/>
      <c r="G65" s="625"/>
      <c r="H65" s="122"/>
      <c r="I65" s="122"/>
      <c r="J65" s="122"/>
      <c r="K65" s="122"/>
      <c r="L65" s="122"/>
      <c r="M65" s="122"/>
      <c r="N65" s="122"/>
      <c r="O65" s="122"/>
      <c r="P65" s="122"/>
      <c r="Q65" s="122"/>
      <c r="R65" s="122"/>
      <c r="S65" s="122"/>
      <c r="T65" s="122"/>
    </row>
    <row r="66" spans="1:20" ht="15">
      <c r="A66" s="624"/>
      <c r="B66" s="612" t="s">
        <v>659</v>
      </c>
      <c r="C66" s="1253" t="s">
        <v>284</v>
      </c>
      <c r="D66" s="1253"/>
      <c r="E66" s="1253"/>
      <c r="F66" s="612"/>
      <c r="G66" s="625"/>
      <c r="H66" s="122"/>
      <c r="I66" s="122"/>
      <c r="J66" s="122"/>
      <c r="K66" s="122"/>
      <c r="L66" s="122"/>
      <c r="M66" s="122"/>
      <c r="N66" s="122"/>
      <c r="O66" s="122"/>
      <c r="P66" s="122"/>
      <c r="Q66" s="122"/>
      <c r="R66" s="122"/>
      <c r="S66" s="122"/>
      <c r="T66" s="122"/>
    </row>
    <row r="67" spans="1:20" ht="15">
      <c r="A67" s="624"/>
      <c r="B67" s="612"/>
      <c r="C67" s="612"/>
      <c r="D67" s="612"/>
      <c r="E67" s="613"/>
      <c r="F67" s="612"/>
      <c r="G67" s="625"/>
      <c r="H67" s="122"/>
      <c r="I67" s="122"/>
      <c r="J67" s="122"/>
      <c r="K67" s="122"/>
      <c r="L67" s="122"/>
      <c r="M67" s="122"/>
      <c r="N67" s="122"/>
      <c r="O67" s="122"/>
      <c r="P67" s="122"/>
      <c r="Q67" s="122"/>
      <c r="R67" s="122"/>
      <c r="S67" s="122"/>
      <c r="T67" s="122"/>
    </row>
    <row r="68" spans="1:20" ht="15">
      <c r="A68" s="624"/>
      <c r="B68" s="612"/>
      <c r="C68" s="612"/>
      <c r="D68" s="612"/>
      <c r="E68" s="613"/>
      <c r="F68" s="612"/>
      <c r="G68" s="625"/>
      <c r="H68" s="122"/>
      <c r="I68" s="122"/>
      <c r="J68" s="122"/>
      <c r="K68" s="122"/>
      <c r="L68" s="122"/>
      <c r="M68" s="122"/>
      <c r="N68" s="122"/>
      <c r="O68" s="122"/>
      <c r="P68" s="122"/>
      <c r="Q68" s="122"/>
      <c r="R68" s="122"/>
      <c r="S68" s="122"/>
      <c r="T68" s="122"/>
    </row>
    <row r="69" spans="1:20" ht="15">
      <c r="A69" s="624"/>
      <c r="B69" s="612"/>
      <c r="C69" s="612"/>
      <c r="D69" s="612"/>
      <c r="E69" s="613"/>
      <c r="F69" s="612"/>
      <c r="G69" s="625"/>
      <c r="H69" s="122"/>
      <c r="I69" s="122"/>
      <c r="J69" s="122"/>
      <c r="K69" s="122"/>
      <c r="L69" s="122"/>
      <c r="M69" s="122"/>
      <c r="N69" s="122"/>
      <c r="O69" s="122"/>
      <c r="P69" s="122"/>
      <c r="Q69" s="122"/>
      <c r="R69" s="122"/>
      <c r="S69" s="122"/>
      <c r="T69" s="122"/>
    </row>
    <row r="70" spans="1:20" ht="15">
      <c r="A70" s="626"/>
      <c r="B70" s="614"/>
      <c r="C70" s="614"/>
      <c r="D70" s="614"/>
      <c r="E70" s="615"/>
      <c r="F70" s="614"/>
      <c r="G70" s="627"/>
      <c r="H70" s="122"/>
      <c r="I70" s="122"/>
      <c r="J70" s="122"/>
      <c r="K70" s="122"/>
      <c r="L70" s="122"/>
      <c r="M70" s="122"/>
      <c r="N70" s="122"/>
      <c r="O70" s="122"/>
      <c r="P70" s="122"/>
      <c r="Q70" s="122"/>
      <c r="R70" s="122"/>
      <c r="S70" s="122"/>
      <c r="T70" s="122"/>
    </row>
    <row r="71" spans="1:20" ht="15">
      <c r="A71" s="626"/>
      <c r="B71" s="614"/>
      <c r="C71" s="614"/>
      <c r="D71" s="614"/>
      <c r="E71" s="615"/>
      <c r="F71" s="614"/>
      <c r="G71" s="627"/>
      <c r="H71" s="611"/>
      <c r="I71" s="122"/>
      <c r="J71" s="122"/>
      <c r="K71" s="122"/>
      <c r="L71" s="122"/>
      <c r="M71" s="122"/>
      <c r="N71" s="122"/>
      <c r="O71" s="122"/>
      <c r="P71" s="122"/>
      <c r="Q71" s="122"/>
      <c r="R71" s="122"/>
      <c r="S71" s="122"/>
      <c r="T71" s="122"/>
    </row>
    <row r="72" spans="1:20" ht="15">
      <c r="A72" s="626"/>
      <c r="B72" s="614"/>
      <c r="C72" s="614"/>
      <c r="D72" s="614"/>
      <c r="E72" s="615"/>
      <c r="F72" s="614"/>
      <c r="G72" s="627"/>
      <c r="H72" s="122"/>
      <c r="I72" s="122"/>
      <c r="J72" s="122"/>
      <c r="K72" s="122"/>
      <c r="L72" s="122"/>
      <c r="M72" s="122"/>
      <c r="N72" s="122"/>
      <c r="O72" s="122"/>
      <c r="P72" s="122"/>
      <c r="Q72" s="122"/>
      <c r="R72" s="122"/>
      <c r="S72" s="122"/>
      <c r="T72" s="122"/>
    </row>
    <row r="73" spans="1:20" ht="15">
      <c r="A73" s="626"/>
      <c r="B73" s="614"/>
      <c r="C73" s="614"/>
      <c r="D73" s="614"/>
      <c r="E73" s="615"/>
      <c r="F73" s="614"/>
      <c r="G73" s="627"/>
      <c r="H73" s="122"/>
      <c r="I73" s="122"/>
      <c r="J73" s="122"/>
      <c r="K73" s="122"/>
      <c r="L73" s="122"/>
      <c r="M73" s="122"/>
      <c r="N73" s="122"/>
      <c r="O73" s="122"/>
      <c r="P73" s="122"/>
      <c r="Q73" s="122"/>
      <c r="R73" s="122"/>
      <c r="S73" s="122"/>
      <c r="T73" s="122"/>
    </row>
    <row r="74" spans="1:20" ht="15">
      <c r="A74" s="626"/>
      <c r="B74" s="614"/>
      <c r="C74" s="614"/>
      <c r="D74" s="614"/>
      <c r="E74" s="615"/>
      <c r="F74" s="614"/>
      <c r="G74" s="627"/>
      <c r="H74" s="122"/>
      <c r="I74" s="122"/>
      <c r="J74" s="122"/>
      <c r="K74" s="122"/>
      <c r="L74" s="122"/>
      <c r="M74" s="122"/>
      <c r="N74" s="122"/>
      <c r="O74" s="122"/>
      <c r="P74" s="122"/>
      <c r="Q74" s="122"/>
      <c r="R74" s="122"/>
      <c r="S74" s="122"/>
      <c r="T74" s="122"/>
    </row>
    <row r="75" spans="1:20" ht="15">
      <c r="A75" s="626"/>
      <c r="B75" s="614"/>
      <c r="C75" s="614"/>
      <c r="D75" s="614"/>
      <c r="E75" s="615"/>
      <c r="F75" s="614"/>
      <c r="G75" s="627"/>
      <c r="H75" s="122"/>
      <c r="I75" s="122"/>
      <c r="J75" s="122"/>
      <c r="K75" s="122"/>
      <c r="L75" s="122"/>
      <c r="M75" s="122"/>
      <c r="N75" s="122"/>
      <c r="O75" s="122"/>
      <c r="P75" s="122"/>
      <c r="Q75" s="122"/>
      <c r="R75" s="122"/>
      <c r="S75" s="122"/>
      <c r="T75" s="122"/>
    </row>
    <row r="76" spans="1:20" ht="15">
      <c r="A76" s="626"/>
      <c r="B76" s="614"/>
      <c r="C76" s="614"/>
      <c r="D76" s="614"/>
      <c r="E76" s="615"/>
      <c r="F76" s="614"/>
      <c r="G76" s="627"/>
      <c r="H76" s="122"/>
      <c r="I76" s="122"/>
      <c r="J76" s="122"/>
      <c r="K76" s="122"/>
      <c r="L76" s="122"/>
      <c r="M76" s="122"/>
      <c r="N76" s="122"/>
      <c r="O76" s="122"/>
      <c r="P76" s="122"/>
      <c r="Q76" s="122"/>
      <c r="R76" s="122"/>
      <c r="S76" s="122"/>
      <c r="T76" s="122"/>
    </row>
    <row r="77" spans="1:20" ht="15">
      <c r="A77" s="626"/>
      <c r="B77" s="614"/>
      <c r="C77" s="614"/>
      <c r="D77" s="614"/>
      <c r="E77" s="615"/>
      <c r="F77" s="614"/>
      <c r="G77" s="627"/>
      <c r="H77" s="122"/>
      <c r="I77" s="122"/>
      <c r="J77" s="122"/>
      <c r="K77" s="122"/>
      <c r="L77" s="122"/>
      <c r="M77" s="122"/>
      <c r="N77" s="122"/>
      <c r="O77" s="122"/>
      <c r="P77" s="122"/>
      <c r="Q77" s="122"/>
      <c r="R77" s="122"/>
      <c r="S77" s="122"/>
      <c r="T77" s="122"/>
    </row>
    <row r="78" spans="1:20" ht="15">
      <c r="A78" s="626"/>
      <c r="B78" s="614"/>
      <c r="C78" s="614"/>
      <c r="D78" s="614"/>
      <c r="E78" s="615"/>
      <c r="F78" s="614"/>
      <c r="G78" s="627"/>
      <c r="H78" s="122"/>
      <c r="I78" s="122"/>
      <c r="J78" s="122"/>
      <c r="K78" s="122"/>
      <c r="L78" s="122"/>
      <c r="M78" s="122"/>
      <c r="N78" s="122"/>
      <c r="O78" s="122"/>
      <c r="P78" s="122"/>
      <c r="Q78" s="122"/>
      <c r="R78" s="122"/>
      <c r="S78" s="122"/>
      <c r="T78" s="122"/>
    </row>
    <row r="79" spans="1:20" ht="15">
      <c r="A79" s="626"/>
      <c r="B79" s="614"/>
      <c r="C79" s="614"/>
      <c r="D79" s="614"/>
      <c r="E79" s="615"/>
      <c r="F79" s="614"/>
      <c r="G79" s="627"/>
      <c r="H79" s="122"/>
      <c r="I79" s="122"/>
      <c r="J79" s="122"/>
      <c r="K79" s="122"/>
      <c r="L79" s="122"/>
      <c r="M79" s="122"/>
      <c r="N79" s="122"/>
      <c r="O79" s="122"/>
      <c r="P79" s="122"/>
      <c r="Q79" s="122"/>
      <c r="R79" s="122"/>
      <c r="S79" s="122"/>
      <c r="T79" s="122"/>
    </row>
    <row r="80" spans="1:20" ht="15">
      <c r="A80" s="626"/>
      <c r="B80" s="614"/>
      <c r="C80" s="614"/>
      <c r="D80" s="614"/>
      <c r="E80" s="615"/>
      <c r="F80" s="614"/>
      <c r="G80" s="627"/>
      <c r="H80" s="122"/>
      <c r="I80" s="122"/>
      <c r="J80" s="122"/>
      <c r="K80" s="122"/>
      <c r="L80" s="122"/>
      <c r="M80" s="122"/>
      <c r="N80" s="122"/>
      <c r="O80" s="122"/>
      <c r="P80" s="122"/>
      <c r="Q80" s="122"/>
      <c r="R80" s="122"/>
      <c r="S80" s="122"/>
      <c r="T80" s="122"/>
    </row>
    <row r="81" spans="1:20" ht="15">
      <c r="A81" s="626"/>
      <c r="B81" s="614"/>
      <c r="C81" s="614"/>
      <c r="D81" s="614"/>
      <c r="E81" s="615"/>
      <c r="F81" s="614"/>
      <c r="G81" s="627"/>
      <c r="H81" s="122"/>
      <c r="I81" s="122"/>
      <c r="J81" s="122"/>
      <c r="K81" s="122"/>
      <c r="L81" s="122"/>
      <c r="M81" s="122"/>
      <c r="N81" s="122"/>
      <c r="O81" s="122"/>
      <c r="P81" s="122"/>
      <c r="Q81" s="122"/>
      <c r="R81" s="122"/>
      <c r="S81" s="122"/>
      <c r="T81" s="122"/>
    </row>
    <row r="82" spans="1:20" ht="15">
      <c r="A82" s="626"/>
      <c r="B82" s="614"/>
      <c r="C82" s="614"/>
      <c r="D82" s="614"/>
      <c r="E82" s="615"/>
      <c r="F82" s="614"/>
      <c r="G82" s="627"/>
      <c r="H82" s="122"/>
      <c r="I82" s="122"/>
      <c r="J82" s="122"/>
      <c r="K82" s="122"/>
      <c r="L82" s="122"/>
      <c r="M82" s="122"/>
      <c r="N82" s="122"/>
      <c r="O82" s="122"/>
      <c r="P82" s="122"/>
      <c r="Q82" s="122"/>
      <c r="R82" s="122"/>
      <c r="S82" s="122"/>
      <c r="T82" s="122"/>
    </row>
    <row r="83" spans="1:20" ht="15">
      <c r="A83" s="626"/>
      <c r="B83" s="614"/>
      <c r="C83" s="614"/>
      <c r="D83" s="614"/>
      <c r="E83" s="615"/>
      <c r="F83" s="614"/>
      <c r="G83" s="627"/>
      <c r="H83" s="122"/>
      <c r="I83" s="122"/>
      <c r="J83" s="122"/>
      <c r="K83" s="122"/>
      <c r="L83" s="122"/>
      <c r="M83" s="122"/>
      <c r="N83" s="122"/>
      <c r="O83" s="122"/>
      <c r="P83" s="122"/>
      <c r="Q83" s="122"/>
      <c r="R83" s="122"/>
      <c r="S83" s="122"/>
      <c r="T83" s="122"/>
    </row>
    <row r="84" spans="1:20" ht="13.5" customHeight="1">
      <c r="A84" s="628"/>
      <c r="B84" s="616"/>
      <c r="C84" s="616"/>
      <c r="D84" s="616"/>
      <c r="E84" s="616"/>
      <c r="F84" s="616"/>
      <c r="G84" s="629"/>
      <c r="H84" s="122"/>
      <c r="I84" s="122"/>
      <c r="J84" s="122"/>
      <c r="K84" s="122"/>
      <c r="L84" s="122"/>
      <c r="M84" s="122"/>
      <c r="N84" s="122"/>
      <c r="O84" s="122"/>
      <c r="P84" s="122"/>
      <c r="Q84" s="122"/>
      <c r="R84" s="122"/>
      <c r="S84" s="122"/>
      <c r="T84" s="122"/>
    </row>
    <row r="85" spans="1:20" ht="13.5" customHeight="1">
      <c r="A85" s="628"/>
      <c r="B85" s="616"/>
      <c r="C85" s="616"/>
      <c r="D85" s="616"/>
      <c r="E85" s="616"/>
      <c r="F85" s="616"/>
      <c r="G85" s="629"/>
      <c r="H85" s="271"/>
      <c r="I85" s="271"/>
      <c r="J85" s="271"/>
      <c r="K85" s="271"/>
      <c r="L85" s="271"/>
      <c r="M85" s="271"/>
      <c r="N85" s="271"/>
      <c r="O85" s="271"/>
      <c r="P85" s="271"/>
      <c r="Q85" s="271"/>
      <c r="R85" s="271"/>
      <c r="S85" s="271"/>
      <c r="T85" s="271"/>
    </row>
    <row r="86" spans="1:20" ht="13.5" customHeight="1">
      <c r="A86" s="628"/>
      <c r="B86" s="616"/>
      <c r="C86" s="616"/>
      <c r="D86" s="616"/>
      <c r="E86" s="616"/>
      <c r="F86" s="616"/>
      <c r="G86" s="629"/>
      <c r="H86" s="271"/>
      <c r="I86" s="271"/>
      <c r="J86" s="271"/>
      <c r="K86" s="271"/>
      <c r="L86" s="271"/>
      <c r="M86" s="271"/>
      <c r="N86" s="271"/>
      <c r="O86" s="271"/>
      <c r="P86" s="271"/>
      <c r="Q86" s="271"/>
      <c r="R86" s="271"/>
      <c r="S86" s="271"/>
      <c r="T86" s="271"/>
    </row>
    <row r="87" spans="1:20" ht="13.5" customHeight="1">
      <c r="A87" s="628"/>
      <c r="B87" s="616"/>
      <c r="C87" s="616"/>
      <c r="D87" s="616"/>
      <c r="E87" s="616"/>
      <c r="F87" s="616"/>
      <c r="G87" s="629"/>
      <c r="H87" s="271"/>
      <c r="I87" s="271"/>
      <c r="J87" s="271"/>
      <c r="K87" s="271"/>
      <c r="L87" s="271"/>
      <c r="M87" s="271"/>
      <c r="N87" s="271"/>
      <c r="O87" s="271"/>
      <c r="P87" s="271"/>
      <c r="Q87" s="271"/>
      <c r="R87" s="271"/>
      <c r="S87" s="271"/>
      <c r="T87" s="271"/>
    </row>
    <row r="88" spans="1:20" ht="13.5" customHeight="1" thickBot="1">
      <c r="A88" s="630"/>
      <c r="B88" s="631"/>
      <c r="C88" s="631"/>
      <c r="D88" s="631"/>
      <c r="E88" s="631"/>
      <c r="F88" s="631"/>
      <c r="G88" s="632"/>
      <c r="H88" s="271"/>
      <c r="I88" s="271"/>
      <c r="J88" s="271"/>
      <c r="K88" s="271"/>
      <c r="L88" s="271"/>
      <c r="M88" s="271"/>
      <c r="N88" s="271"/>
      <c r="O88" s="271"/>
      <c r="P88" s="271"/>
      <c r="Q88" s="271"/>
      <c r="R88" s="271"/>
      <c r="S88" s="271"/>
      <c r="T88" s="271"/>
    </row>
    <row r="89" spans="1:20" ht="13.5" customHeight="1" thickBot="1">
      <c r="A89" s="1225" t="s">
        <v>661</v>
      </c>
      <c r="B89" s="1226"/>
      <c r="C89" s="1226"/>
      <c r="D89" s="1226"/>
      <c r="E89" s="1226"/>
      <c r="F89" s="1226"/>
      <c r="G89" s="1227"/>
      <c r="H89" s="271"/>
      <c r="I89" s="271"/>
      <c r="J89" s="271"/>
      <c r="K89" s="271"/>
      <c r="L89" s="271"/>
      <c r="M89" s="271"/>
      <c r="N89" s="271"/>
      <c r="O89" s="271"/>
      <c r="P89" s="271"/>
      <c r="Q89" s="271"/>
      <c r="R89" s="271"/>
      <c r="S89" s="271"/>
      <c r="T89" s="271"/>
    </row>
    <row r="90" spans="1:20" ht="14.25" customHeight="1">
      <c r="A90" s="1219" t="s">
        <v>293</v>
      </c>
      <c r="B90" s="1220"/>
      <c r="C90" s="1220"/>
      <c r="D90" s="1220"/>
      <c r="E90" s="1220"/>
      <c r="F90" s="1220"/>
      <c r="G90" s="1221"/>
      <c r="H90" s="123"/>
      <c r="I90" s="123"/>
      <c r="J90" s="123"/>
      <c r="K90" s="123"/>
      <c r="L90" s="123"/>
      <c r="M90" s="123"/>
      <c r="N90" s="123"/>
    </row>
    <row r="91" spans="1:20">
      <c r="A91" s="1219"/>
      <c r="B91" s="1220"/>
      <c r="C91" s="1220"/>
      <c r="D91" s="1220"/>
      <c r="E91" s="1220"/>
      <c r="F91" s="1220"/>
      <c r="G91" s="1221"/>
      <c r="H91" s="123"/>
      <c r="I91" s="123"/>
      <c r="J91" s="123"/>
      <c r="K91" s="123"/>
      <c r="L91" s="123"/>
      <c r="M91" s="123"/>
      <c r="N91" s="123"/>
    </row>
    <row r="92" spans="1:20">
      <c r="A92" s="1219"/>
      <c r="B92" s="1220"/>
      <c r="C92" s="1220"/>
      <c r="D92" s="1220"/>
      <c r="E92" s="1220"/>
      <c r="F92" s="1220"/>
      <c r="G92" s="1221"/>
      <c r="H92" s="123"/>
      <c r="I92" s="123"/>
      <c r="J92" s="123"/>
      <c r="K92" s="123"/>
      <c r="L92" s="123"/>
      <c r="M92" s="123"/>
      <c r="N92" s="123"/>
    </row>
    <row r="93" spans="1:20">
      <c r="A93" s="1222"/>
      <c r="B93" s="1223"/>
      <c r="C93" s="1223"/>
      <c r="D93" s="1223"/>
      <c r="E93" s="1223"/>
      <c r="F93" s="1223"/>
      <c r="G93" s="1224"/>
      <c r="H93" s="123"/>
      <c r="I93" s="123"/>
      <c r="J93" s="123"/>
      <c r="K93" s="123"/>
      <c r="L93" s="123"/>
      <c r="M93" s="123"/>
      <c r="N93" s="123"/>
    </row>
    <row r="94" spans="1:20">
      <c r="A94" s="628"/>
      <c r="B94" s="616"/>
      <c r="C94" s="616"/>
      <c r="D94" s="616"/>
      <c r="E94" s="616"/>
      <c r="F94" s="616"/>
      <c r="G94" s="629"/>
      <c r="H94" s="123"/>
      <c r="I94" s="123"/>
      <c r="J94" s="123"/>
      <c r="K94" s="123"/>
      <c r="L94" s="123"/>
      <c r="M94" s="123"/>
      <c r="N94" s="123"/>
    </row>
    <row r="95" spans="1:20">
      <c r="A95" s="628"/>
      <c r="B95" s="616"/>
      <c r="C95" s="616"/>
      <c r="D95" s="616"/>
      <c r="E95" s="616"/>
      <c r="F95" s="616"/>
      <c r="G95" s="629"/>
      <c r="H95" s="123"/>
      <c r="I95" s="123"/>
      <c r="J95" s="123"/>
      <c r="K95" s="123"/>
      <c r="L95" s="123"/>
      <c r="M95" s="123"/>
      <c r="N95" s="123"/>
    </row>
    <row r="96" spans="1:20">
      <c r="A96" s="628"/>
      <c r="B96" s="616"/>
      <c r="C96" s="616"/>
      <c r="D96" s="616"/>
      <c r="E96" s="616"/>
      <c r="F96" s="616"/>
      <c r="G96" s="629"/>
      <c r="H96" s="123"/>
      <c r="I96" s="123"/>
      <c r="J96" s="123"/>
      <c r="K96" s="123"/>
      <c r="L96" s="123"/>
      <c r="M96" s="123"/>
      <c r="N96" s="123"/>
    </row>
    <row r="97" spans="1:14">
      <c r="A97" s="628"/>
      <c r="B97" s="616"/>
      <c r="C97" s="616"/>
      <c r="D97" s="616"/>
      <c r="E97" s="616"/>
      <c r="F97" s="616"/>
      <c r="G97" s="629"/>
      <c r="H97" s="123"/>
      <c r="I97" s="123"/>
      <c r="J97" s="123"/>
      <c r="K97" s="123"/>
      <c r="L97" s="123"/>
      <c r="M97" s="123"/>
      <c r="N97" s="123"/>
    </row>
    <row r="98" spans="1:14">
      <c r="A98" s="628"/>
      <c r="B98" s="616"/>
      <c r="C98" s="616"/>
      <c r="D98" s="616"/>
      <c r="E98" s="616"/>
      <c r="F98" s="616"/>
      <c r="G98" s="629"/>
      <c r="K98" s="123"/>
      <c r="L98" s="123"/>
      <c r="M98" s="123"/>
      <c r="N98" s="123"/>
    </row>
    <row r="99" spans="1:14">
      <c r="A99" s="628"/>
      <c r="B99" s="616"/>
      <c r="C99" s="616"/>
      <c r="D99" s="616"/>
      <c r="E99" s="616"/>
      <c r="F99" s="616"/>
      <c r="G99" s="629"/>
      <c r="K99" s="123"/>
      <c r="L99" s="123"/>
      <c r="M99" s="123"/>
      <c r="N99" s="123"/>
    </row>
    <row r="100" spans="1:14">
      <c r="A100" s="628"/>
      <c r="B100" s="616"/>
      <c r="C100" s="616"/>
      <c r="D100" s="616"/>
      <c r="E100" s="616"/>
      <c r="F100" s="616"/>
      <c r="G100" s="629"/>
      <c r="K100" s="123"/>
      <c r="L100" s="123"/>
      <c r="M100" s="123"/>
      <c r="N100" s="123"/>
    </row>
    <row r="101" spans="1:14">
      <c r="A101" s="628"/>
      <c r="B101" s="616"/>
      <c r="C101" s="616"/>
      <c r="D101" s="616"/>
      <c r="E101" s="616"/>
      <c r="F101" s="616"/>
      <c r="G101" s="629"/>
      <c r="K101" s="123"/>
      <c r="L101" s="123"/>
      <c r="M101" s="123"/>
      <c r="N101" s="123"/>
    </row>
    <row r="102" spans="1:14">
      <c r="A102" s="628"/>
      <c r="B102" s="616"/>
      <c r="C102" s="616"/>
      <c r="D102" s="616"/>
      <c r="E102" s="616"/>
      <c r="F102" s="616"/>
      <c r="G102" s="629"/>
      <c r="H102" s="123"/>
      <c r="I102" s="123"/>
      <c r="J102" s="123"/>
      <c r="K102" s="123"/>
      <c r="L102" s="123"/>
      <c r="M102" s="123"/>
      <c r="N102" s="123"/>
    </row>
    <row r="103" spans="1:14">
      <c r="A103" s="628"/>
      <c r="B103" s="616"/>
      <c r="C103" s="616"/>
      <c r="D103" s="616"/>
      <c r="E103" s="616"/>
      <c r="F103" s="616"/>
      <c r="G103" s="629"/>
      <c r="H103" s="123"/>
      <c r="I103" s="123"/>
      <c r="J103" s="123"/>
      <c r="K103" s="123"/>
      <c r="L103" s="123"/>
      <c r="M103" s="123"/>
      <c r="N103" s="123"/>
    </row>
    <row r="104" spans="1:14">
      <c r="A104" s="628"/>
      <c r="B104" s="616"/>
      <c r="C104" s="616"/>
      <c r="D104" s="616"/>
      <c r="E104" s="616"/>
      <c r="F104" s="616"/>
      <c r="G104" s="629"/>
      <c r="H104" s="123"/>
      <c r="I104" s="123"/>
      <c r="J104" s="123"/>
      <c r="K104" s="123"/>
      <c r="L104" s="123"/>
      <c r="M104" s="123"/>
      <c r="N104" s="123"/>
    </row>
    <row r="105" spans="1:14">
      <c r="A105" s="628"/>
      <c r="B105" s="616"/>
      <c r="C105" s="616"/>
      <c r="D105" s="616"/>
      <c r="E105" s="616"/>
      <c r="F105" s="616"/>
      <c r="G105" s="629"/>
      <c r="H105" s="123"/>
      <c r="I105" s="123"/>
      <c r="J105" s="123"/>
      <c r="K105" s="123"/>
      <c r="L105" s="123"/>
      <c r="M105" s="123"/>
      <c r="N105" s="123"/>
    </row>
    <row r="106" spans="1:14">
      <c r="A106" s="628"/>
      <c r="B106" s="616"/>
      <c r="C106" s="616"/>
      <c r="D106" s="616"/>
      <c r="E106" s="616"/>
      <c r="F106" s="616"/>
      <c r="G106" s="629"/>
      <c r="H106" s="123"/>
      <c r="I106" s="123"/>
      <c r="J106" s="123"/>
      <c r="K106" s="123"/>
      <c r="L106" s="123"/>
      <c r="M106" s="123"/>
      <c r="N106" s="123"/>
    </row>
    <row r="107" spans="1:14">
      <c r="A107" s="628"/>
      <c r="B107" s="616"/>
      <c r="C107" s="616"/>
      <c r="D107" s="616"/>
      <c r="E107" s="616"/>
      <c r="F107" s="616"/>
      <c r="G107" s="629"/>
      <c r="H107" s="123"/>
      <c r="I107" s="123"/>
      <c r="J107" s="123"/>
      <c r="K107" s="123"/>
      <c r="L107" s="123"/>
      <c r="M107" s="123"/>
      <c r="N107" s="123"/>
    </row>
    <row r="108" spans="1:14">
      <c r="A108" s="628"/>
      <c r="B108" s="616"/>
      <c r="C108" s="616"/>
      <c r="D108" s="616"/>
      <c r="E108" s="616"/>
      <c r="F108" s="616"/>
      <c r="G108" s="629"/>
      <c r="H108" s="123"/>
      <c r="I108" s="123"/>
      <c r="J108" s="123"/>
      <c r="K108" s="123"/>
      <c r="L108" s="123"/>
      <c r="M108" s="123"/>
      <c r="N108" s="123"/>
    </row>
    <row r="109" spans="1:14">
      <c r="A109" s="628"/>
      <c r="B109" s="616"/>
      <c r="C109" s="616"/>
      <c r="D109" s="616"/>
      <c r="E109" s="616"/>
      <c r="F109" s="616"/>
      <c r="G109" s="629"/>
      <c r="H109" s="123"/>
      <c r="I109" s="123"/>
      <c r="J109" s="123"/>
      <c r="K109" s="123"/>
      <c r="L109" s="123"/>
      <c r="M109" s="123"/>
      <c r="N109" s="123"/>
    </row>
    <row r="110" spans="1:14">
      <c r="A110" s="628"/>
      <c r="B110" s="616"/>
      <c r="C110" s="616"/>
      <c r="D110" s="616"/>
      <c r="E110" s="616"/>
      <c r="F110" s="616"/>
      <c r="G110" s="629"/>
      <c r="H110" s="123"/>
      <c r="I110" s="123"/>
      <c r="J110" s="123"/>
      <c r="K110" s="123"/>
      <c r="L110" s="123"/>
      <c r="M110" s="123"/>
      <c r="N110" s="123"/>
    </row>
    <row r="111" spans="1:14">
      <c r="A111" s="628"/>
      <c r="B111" s="616"/>
      <c r="C111" s="616"/>
      <c r="D111" s="616"/>
      <c r="E111" s="616"/>
      <c r="F111" s="616"/>
      <c r="G111" s="629"/>
      <c r="H111" s="123"/>
      <c r="I111" s="123"/>
      <c r="J111" s="123"/>
      <c r="K111" s="123"/>
      <c r="L111" s="123"/>
      <c r="M111" s="123"/>
      <c r="N111" s="123"/>
    </row>
    <row r="112" spans="1:14">
      <c r="A112" s="628"/>
      <c r="B112" s="616"/>
      <c r="C112" s="616"/>
      <c r="D112" s="616"/>
      <c r="E112" s="616"/>
      <c r="F112" s="616"/>
      <c r="G112" s="629"/>
      <c r="H112" s="123"/>
      <c r="I112" s="123"/>
      <c r="J112" s="123"/>
      <c r="K112" s="123"/>
      <c r="L112" s="123"/>
      <c r="M112" s="123"/>
      <c r="N112" s="123"/>
    </row>
    <row r="113" spans="1:14">
      <c r="A113" s="628"/>
      <c r="B113" s="616"/>
      <c r="C113" s="616"/>
      <c r="D113" s="616"/>
      <c r="E113" s="616"/>
      <c r="F113" s="616"/>
      <c r="G113" s="629"/>
      <c r="H113" s="123"/>
      <c r="I113" s="123"/>
      <c r="J113" s="123"/>
      <c r="K113" s="123"/>
      <c r="L113" s="123"/>
      <c r="M113" s="123"/>
      <c r="N113" s="123"/>
    </row>
    <row r="114" spans="1:14">
      <c r="A114" s="646"/>
      <c r="B114" s="647"/>
      <c r="C114" s="647"/>
      <c r="D114" s="647"/>
      <c r="E114" s="647"/>
      <c r="F114" s="647"/>
      <c r="G114" s="648"/>
      <c r="H114" s="123"/>
      <c r="I114" s="123"/>
      <c r="J114" s="123"/>
      <c r="K114" s="123"/>
      <c r="L114" s="123"/>
      <c r="M114" s="123"/>
      <c r="N114" s="123"/>
    </row>
    <row r="115" spans="1:14" ht="14.25" customHeight="1">
      <c r="A115" s="1257" t="s">
        <v>294</v>
      </c>
      <c r="B115" s="1258"/>
      <c r="C115" s="1258"/>
      <c r="D115" s="1258"/>
      <c r="E115" s="1258"/>
      <c r="F115" s="1258"/>
      <c r="G115" s="1259"/>
      <c r="H115" s="123"/>
      <c r="I115" s="123"/>
      <c r="J115" s="123"/>
      <c r="K115" s="123"/>
      <c r="L115" s="123"/>
      <c r="M115" s="123"/>
      <c r="N115" s="123"/>
    </row>
    <row r="116" spans="1:14">
      <c r="A116" s="1260"/>
      <c r="B116" s="1261"/>
      <c r="C116" s="1261"/>
      <c r="D116" s="1261"/>
      <c r="E116" s="1261"/>
      <c r="F116" s="1261"/>
      <c r="G116" s="1262"/>
      <c r="H116" s="123"/>
      <c r="I116" s="123"/>
      <c r="J116" s="123"/>
      <c r="K116" s="123"/>
      <c r="L116" s="123"/>
      <c r="M116" s="123"/>
      <c r="N116" s="123"/>
    </row>
    <row r="117" spans="1:14">
      <c r="A117" s="1260"/>
      <c r="B117" s="1261"/>
      <c r="C117" s="1261"/>
      <c r="D117" s="1261"/>
      <c r="E117" s="1261"/>
      <c r="F117" s="1261"/>
      <c r="G117" s="1262"/>
      <c r="H117" s="123"/>
      <c r="I117" s="123"/>
      <c r="J117" s="123"/>
      <c r="K117" s="123"/>
      <c r="L117" s="123"/>
      <c r="M117" s="123"/>
      <c r="N117" s="123"/>
    </row>
    <row r="118" spans="1:14">
      <c r="A118" s="1263"/>
      <c r="B118" s="1264"/>
      <c r="C118" s="1264"/>
      <c r="D118" s="1264"/>
      <c r="E118" s="1264"/>
      <c r="F118" s="1264"/>
      <c r="G118" s="1265"/>
      <c r="H118" s="123"/>
      <c r="I118" s="123"/>
      <c r="J118" s="123"/>
      <c r="K118" s="123"/>
      <c r="L118" s="123"/>
      <c r="M118" s="123"/>
      <c r="N118" s="123"/>
    </row>
    <row r="119" spans="1:14">
      <c r="A119" s="628"/>
      <c r="B119" s="616"/>
      <c r="C119" s="616"/>
      <c r="D119" s="616"/>
      <c r="E119" s="616"/>
      <c r="F119" s="616"/>
      <c r="G119" s="629"/>
      <c r="H119" s="123"/>
      <c r="I119" s="123"/>
      <c r="J119" s="123"/>
      <c r="K119" s="123"/>
      <c r="L119" s="123"/>
      <c r="M119" s="123"/>
      <c r="N119" s="123"/>
    </row>
    <row r="120" spans="1:14">
      <c r="A120" s="628"/>
      <c r="B120" s="616"/>
      <c r="C120" s="616"/>
      <c r="D120" s="616"/>
      <c r="E120" s="616"/>
      <c r="F120" s="616"/>
      <c r="G120" s="629"/>
      <c r="H120" s="123"/>
      <c r="I120" s="123"/>
      <c r="J120" s="123"/>
      <c r="K120" s="123"/>
      <c r="L120" s="123"/>
      <c r="M120" s="123"/>
      <c r="N120" s="123"/>
    </row>
    <row r="121" spans="1:14">
      <c r="A121" s="628"/>
      <c r="B121" s="616"/>
      <c r="C121" s="616"/>
      <c r="D121" s="616"/>
      <c r="E121" s="616"/>
      <c r="F121" s="616"/>
      <c r="G121" s="629"/>
      <c r="H121" s="123"/>
      <c r="I121" s="123"/>
      <c r="J121" s="123"/>
      <c r="K121" s="123"/>
      <c r="L121" s="123"/>
      <c r="M121" s="123"/>
      <c r="N121" s="123"/>
    </row>
    <row r="122" spans="1:14">
      <c r="A122" s="628"/>
      <c r="B122" s="616"/>
      <c r="C122" s="616"/>
      <c r="D122" s="616"/>
      <c r="E122" s="616"/>
      <c r="F122" s="616"/>
      <c r="G122" s="629"/>
      <c r="H122" s="123"/>
      <c r="I122" s="123"/>
      <c r="J122" s="123"/>
      <c r="K122" s="123"/>
      <c r="L122" s="123"/>
      <c r="M122" s="123"/>
      <c r="N122" s="123"/>
    </row>
    <row r="123" spans="1:14">
      <c r="A123" s="628"/>
      <c r="B123" s="616"/>
      <c r="C123" s="616"/>
      <c r="D123" s="616"/>
      <c r="E123" s="616"/>
      <c r="F123" s="616"/>
      <c r="G123" s="629"/>
      <c r="H123" s="123"/>
      <c r="I123" s="123"/>
      <c r="J123" s="123"/>
      <c r="K123" s="123"/>
      <c r="L123" s="123"/>
      <c r="M123" s="123"/>
      <c r="N123" s="123"/>
    </row>
    <row r="124" spans="1:14">
      <c r="A124" s="628"/>
      <c r="B124" s="616"/>
      <c r="C124" s="616"/>
      <c r="D124" s="616"/>
      <c r="E124" s="616"/>
      <c r="F124" s="616"/>
      <c r="G124" s="629"/>
      <c r="K124" s="123"/>
      <c r="L124" s="123"/>
      <c r="M124" s="123"/>
      <c r="N124" s="123"/>
    </row>
    <row r="125" spans="1:14">
      <c r="A125" s="628"/>
      <c r="B125" s="616"/>
      <c r="C125" s="616"/>
      <c r="D125" s="616"/>
      <c r="E125" s="616"/>
      <c r="F125" s="616"/>
      <c r="G125" s="629"/>
      <c r="K125" s="123"/>
      <c r="L125" s="123"/>
      <c r="M125" s="123"/>
      <c r="N125" s="123"/>
    </row>
    <row r="126" spans="1:14">
      <c r="A126" s="628"/>
      <c r="B126" s="616"/>
      <c r="C126" s="616"/>
      <c r="D126" s="616"/>
      <c r="E126" s="616"/>
      <c r="F126" s="616"/>
      <c r="G126" s="629"/>
      <c r="K126" s="123"/>
      <c r="L126" s="123"/>
      <c r="M126" s="123"/>
      <c r="N126" s="123"/>
    </row>
    <row r="127" spans="1:14">
      <c r="A127" s="628"/>
      <c r="B127" s="616"/>
      <c r="C127" s="616"/>
      <c r="D127" s="616"/>
      <c r="E127" s="616"/>
      <c r="F127" s="616"/>
      <c r="G127" s="629"/>
      <c r="K127" s="123"/>
      <c r="L127" s="123"/>
      <c r="M127" s="123"/>
      <c r="N127" s="123"/>
    </row>
    <row r="128" spans="1:14">
      <c r="A128" s="628"/>
      <c r="B128" s="616"/>
      <c r="C128" s="616"/>
      <c r="D128" s="616"/>
      <c r="E128" s="616"/>
      <c r="F128" s="616"/>
      <c r="G128" s="629"/>
      <c r="H128" s="123"/>
      <c r="I128" s="123"/>
      <c r="J128" s="123"/>
      <c r="K128" s="123"/>
      <c r="L128" s="123"/>
      <c r="M128" s="123"/>
      <c r="N128" s="123"/>
    </row>
    <row r="129" spans="1:14">
      <c r="A129" s="628"/>
      <c r="B129" s="616"/>
      <c r="C129" s="616"/>
      <c r="D129" s="616"/>
      <c r="E129" s="616"/>
      <c r="F129" s="616"/>
      <c r="G129" s="629"/>
      <c r="H129" s="123"/>
      <c r="I129" s="123"/>
      <c r="J129" s="123"/>
      <c r="K129" s="123"/>
      <c r="L129" s="123"/>
      <c r="M129" s="123"/>
      <c r="N129" s="123"/>
    </row>
    <row r="130" spans="1:14">
      <c r="A130" s="628"/>
      <c r="B130" s="616"/>
      <c r="C130" s="616"/>
      <c r="D130" s="616"/>
      <c r="E130" s="616"/>
      <c r="F130" s="616"/>
      <c r="G130" s="629"/>
      <c r="H130" s="123"/>
      <c r="I130" s="123"/>
      <c r="J130" s="123"/>
      <c r="K130" s="123"/>
      <c r="L130" s="123"/>
      <c r="M130" s="123"/>
      <c r="N130" s="123"/>
    </row>
    <row r="131" spans="1:14">
      <c r="A131" s="628"/>
      <c r="B131" s="616"/>
      <c r="C131" s="616"/>
      <c r="D131" s="616"/>
      <c r="E131" s="616"/>
      <c r="F131" s="616"/>
      <c r="G131" s="629"/>
      <c r="H131" s="123"/>
      <c r="I131" s="123"/>
      <c r="J131" s="123"/>
      <c r="K131" s="123"/>
      <c r="L131" s="123"/>
      <c r="M131" s="123"/>
      <c r="N131" s="123"/>
    </row>
    <row r="132" spans="1:14">
      <c r="A132" s="628"/>
      <c r="B132" s="616"/>
      <c r="C132" s="616"/>
      <c r="D132" s="616"/>
      <c r="E132" s="616"/>
      <c r="F132" s="616"/>
      <c r="G132" s="629"/>
      <c r="H132" s="123"/>
      <c r="I132" s="123"/>
      <c r="J132" s="123"/>
      <c r="K132" s="123"/>
      <c r="L132" s="123"/>
      <c r="M132" s="123"/>
      <c r="N132" s="123"/>
    </row>
    <row r="133" spans="1:14">
      <c r="A133" s="628"/>
      <c r="B133" s="616"/>
      <c r="C133" s="616"/>
      <c r="D133" s="616"/>
      <c r="E133" s="616"/>
      <c r="F133" s="616"/>
      <c r="G133" s="629"/>
      <c r="H133" s="123"/>
      <c r="I133" s="123"/>
      <c r="J133" s="123"/>
      <c r="K133" s="123"/>
      <c r="L133" s="123"/>
      <c r="M133" s="123"/>
      <c r="N133" s="123"/>
    </row>
    <row r="134" spans="1:14">
      <c r="A134" s="628"/>
      <c r="B134" s="616"/>
      <c r="C134" s="616"/>
      <c r="D134" s="616"/>
      <c r="E134" s="616"/>
      <c r="F134" s="616"/>
      <c r="G134" s="629"/>
      <c r="H134" s="123"/>
      <c r="I134" s="123"/>
      <c r="J134" s="123"/>
      <c r="K134" s="123"/>
      <c r="L134" s="123"/>
      <c r="M134" s="123"/>
      <c r="N134" s="123"/>
    </row>
    <row r="135" spans="1:14">
      <c r="A135" s="628"/>
      <c r="B135" s="616"/>
      <c r="C135" s="616"/>
      <c r="D135" s="616"/>
      <c r="E135" s="616"/>
      <c r="F135" s="616"/>
      <c r="G135" s="629"/>
      <c r="H135" s="123"/>
      <c r="I135" s="123"/>
      <c r="J135" s="123"/>
      <c r="K135" s="123"/>
      <c r="L135" s="123"/>
      <c r="M135" s="123"/>
      <c r="N135" s="123"/>
    </row>
    <row r="136" spans="1:14">
      <c r="A136" s="646"/>
      <c r="B136" s="647"/>
      <c r="C136" s="647"/>
      <c r="D136" s="647"/>
      <c r="E136" s="647"/>
      <c r="F136" s="647"/>
      <c r="G136" s="648"/>
      <c r="H136" s="123"/>
      <c r="I136" s="123"/>
      <c r="J136" s="123"/>
      <c r="K136" s="123"/>
      <c r="L136" s="123"/>
      <c r="M136" s="123"/>
      <c r="N136" s="123"/>
    </row>
    <row r="137" spans="1:14" ht="14.25" customHeight="1">
      <c r="A137" s="1216" t="s">
        <v>295</v>
      </c>
      <c r="B137" s="1217"/>
      <c r="C137" s="1217"/>
      <c r="D137" s="1217"/>
      <c r="E137" s="1217"/>
      <c r="F137" s="1217"/>
      <c r="G137" s="1218"/>
      <c r="H137" s="123"/>
      <c r="I137" s="123"/>
      <c r="J137" s="123"/>
      <c r="K137" s="123"/>
      <c r="L137" s="123"/>
      <c r="M137" s="123"/>
      <c r="N137" s="123"/>
    </row>
    <row r="138" spans="1:14">
      <c r="A138" s="1219"/>
      <c r="B138" s="1220"/>
      <c r="C138" s="1220"/>
      <c r="D138" s="1220"/>
      <c r="E138" s="1220"/>
      <c r="F138" s="1220"/>
      <c r="G138" s="1221"/>
      <c r="H138" s="123"/>
      <c r="I138" s="123"/>
      <c r="J138" s="123"/>
      <c r="K138" s="123"/>
      <c r="L138" s="123"/>
      <c r="M138" s="123"/>
      <c r="N138" s="123"/>
    </row>
    <row r="139" spans="1:14">
      <c r="A139" s="1219"/>
      <c r="B139" s="1220"/>
      <c r="C139" s="1220"/>
      <c r="D139" s="1220"/>
      <c r="E139" s="1220"/>
      <c r="F139" s="1220"/>
      <c r="G139" s="1221"/>
      <c r="H139" s="123"/>
      <c r="I139" s="123"/>
      <c r="J139" s="123"/>
      <c r="K139" s="123"/>
      <c r="L139" s="123"/>
      <c r="M139" s="123"/>
      <c r="N139" s="123"/>
    </row>
    <row r="140" spans="1:14">
      <c r="A140" s="1222"/>
      <c r="B140" s="1223"/>
      <c r="C140" s="1223"/>
      <c r="D140" s="1223"/>
      <c r="E140" s="1223"/>
      <c r="F140" s="1223"/>
      <c r="G140" s="1224"/>
      <c r="H140" s="123"/>
      <c r="I140" s="123"/>
      <c r="J140" s="123"/>
      <c r="K140" s="123"/>
      <c r="L140" s="123"/>
      <c r="M140" s="123"/>
      <c r="N140" s="123"/>
    </row>
    <row r="141" spans="1:14">
      <c r="A141" s="628"/>
      <c r="B141" s="616"/>
      <c r="C141" s="616"/>
      <c r="D141" s="616"/>
      <c r="E141" s="616"/>
      <c r="F141" s="616"/>
      <c r="G141" s="629"/>
      <c r="H141" s="123"/>
      <c r="I141" s="123"/>
      <c r="J141" s="123"/>
      <c r="K141" s="123"/>
      <c r="L141" s="123"/>
      <c r="M141" s="123"/>
      <c r="N141" s="123"/>
    </row>
    <row r="142" spans="1:14">
      <c r="A142" s="628"/>
      <c r="B142" s="616"/>
      <c r="C142" s="616"/>
      <c r="D142" s="616"/>
      <c r="E142" s="616"/>
      <c r="F142" s="616"/>
      <c r="G142" s="629"/>
      <c r="H142" s="123"/>
      <c r="I142" s="123"/>
      <c r="J142" s="123"/>
      <c r="K142" s="123"/>
      <c r="L142" s="123"/>
      <c r="M142" s="123"/>
      <c r="N142" s="123"/>
    </row>
    <row r="143" spans="1:14">
      <c r="A143" s="628"/>
      <c r="B143" s="616"/>
      <c r="C143" s="616"/>
      <c r="D143" s="616"/>
      <c r="E143" s="616"/>
      <c r="F143" s="616"/>
      <c r="G143" s="629"/>
      <c r="H143" s="123"/>
      <c r="I143" s="123"/>
      <c r="J143" s="123"/>
      <c r="K143" s="123"/>
      <c r="L143" s="123"/>
      <c r="M143" s="123"/>
      <c r="N143" s="123"/>
    </row>
    <row r="144" spans="1:14">
      <c r="A144" s="628"/>
      <c r="B144" s="616"/>
      <c r="C144" s="616"/>
      <c r="D144" s="616"/>
      <c r="E144" s="616"/>
      <c r="F144" s="616"/>
      <c r="G144" s="629"/>
      <c r="H144" s="123"/>
      <c r="I144" s="123"/>
      <c r="J144" s="123"/>
      <c r="K144" s="123"/>
      <c r="L144" s="123"/>
      <c r="M144" s="123"/>
      <c r="N144" s="123"/>
    </row>
    <row r="145" spans="1:14">
      <c r="A145" s="628"/>
      <c r="B145" s="616"/>
      <c r="C145" s="616"/>
      <c r="D145" s="616"/>
      <c r="E145" s="616"/>
      <c r="F145" s="616"/>
      <c r="G145" s="629"/>
      <c r="H145" s="123"/>
      <c r="I145" s="123"/>
      <c r="J145" s="123"/>
      <c r="K145" s="123"/>
      <c r="L145" s="123"/>
      <c r="M145" s="123"/>
      <c r="N145" s="123"/>
    </row>
    <row r="146" spans="1:14">
      <c r="A146" s="628"/>
      <c r="B146" s="616"/>
      <c r="C146" s="616"/>
      <c r="D146" s="616"/>
      <c r="E146" s="616"/>
      <c r="F146" s="616"/>
      <c r="G146" s="629"/>
      <c r="H146" s="123"/>
      <c r="I146" s="123"/>
      <c r="J146" s="123"/>
      <c r="K146" s="123"/>
      <c r="L146" s="123"/>
      <c r="M146" s="123"/>
      <c r="N146" s="123"/>
    </row>
    <row r="147" spans="1:14">
      <c r="A147" s="628"/>
      <c r="B147" s="616"/>
      <c r="C147" s="616"/>
      <c r="D147" s="616"/>
      <c r="E147" s="616"/>
      <c r="F147" s="616"/>
      <c r="G147" s="629"/>
      <c r="H147" s="123"/>
      <c r="I147" s="123"/>
      <c r="J147" s="123"/>
      <c r="K147" s="123"/>
      <c r="L147" s="123"/>
      <c r="M147" s="123"/>
      <c r="N147" s="123"/>
    </row>
    <row r="148" spans="1:14">
      <c r="A148" s="628"/>
      <c r="B148" s="616"/>
      <c r="C148" s="616"/>
      <c r="D148" s="616"/>
      <c r="E148" s="616"/>
      <c r="F148" s="616"/>
      <c r="G148" s="629"/>
      <c r="H148" s="123"/>
      <c r="I148" s="123"/>
      <c r="J148" s="123"/>
      <c r="K148" s="123"/>
      <c r="L148" s="123"/>
      <c r="M148" s="123"/>
      <c r="N148" s="123"/>
    </row>
    <row r="149" spans="1:14">
      <c r="A149" s="628"/>
      <c r="B149" s="616"/>
      <c r="C149" s="616"/>
      <c r="D149" s="616"/>
      <c r="E149" s="616"/>
      <c r="F149" s="616"/>
      <c r="G149" s="629"/>
      <c r="H149" s="123"/>
      <c r="I149" s="123"/>
      <c r="J149" s="123"/>
      <c r="K149" s="123"/>
      <c r="L149" s="123"/>
      <c r="M149" s="123"/>
      <c r="N149" s="123"/>
    </row>
    <row r="150" spans="1:14">
      <c r="A150" s="628"/>
      <c r="B150" s="616"/>
      <c r="C150" s="616"/>
      <c r="D150" s="616"/>
      <c r="E150" s="616"/>
      <c r="F150" s="616"/>
      <c r="G150" s="629"/>
      <c r="H150" s="123"/>
      <c r="I150" s="123"/>
      <c r="J150" s="123"/>
      <c r="K150" s="123"/>
      <c r="L150" s="123"/>
      <c r="M150" s="123"/>
      <c r="N150" s="123"/>
    </row>
    <row r="151" spans="1:14">
      <c r="A151" s="628"/>
      <c r="B151" s="616"/>
      <c r="C151" s="616"/>
      <c r="D151" s="616"/>
      <c r="E151" s="616"/>
      <c r="F151" s="616"/>
      <c r="G151" s="629"/>
      <c r="K151" s="123"/>
      <c r="L151" s="123"/>
      <c r="M151" s="123"/>
      <c r="N151" s="123"/>
    </row>
    <row r="152" spans="1:14">
      <c r="A152" s="628"/>
      <c r="B152" s="616"/>
      <c r="C152" s="616"/>
      <c r="D152" s="616"/>
      <c r="E152" s="616"/>
      <c r="F152" s="616"/>
      <c r="G152" s="629"/>
      <c r="K152" s="123"/>
      <c r="L152" s="123"/>
      <c r="M152" s="123"/>
      <c r="N152" s="123"/>
    </row>
    <row r="153" spans="1:14">
      <c r="A153" s="628"/>
      <c r="B153" s="616"/>
      <c r="C153" s="616"/>
      <c r="D153" s="616"/>
      <c r="E153" s="616"/>
      <c r="F153" s="616"/>
      <c r="G153" s="629"/>
      <c r="K153" s="123"/>
      <c r="L153" s="123"/>
      <c r="M153" s="123"/>
      <c r="N153" s="123"/>
    </row>
    <row r="154" spans="1:14">
      <c r="A154" s="628"/>
      <c r="B154" s="616"/>
      <c r="C154" s="616"/>
      <c r="D154" s="616"/>
      <c r="E154" s="616"/>
      <c r="F154" s="616"/>
      <c r="G154" s="629"/>
      <c r="K154" s="123"/>
      <c r="L154" s="123"/>
      <c r="M154" s="123"/>
      <c r="N154" s="123"/>
    </row>
    <row r="155" spans="1:14">
      <c r="A155" s="628"/>
      <c r="B155" s="616"/>
      <c r="C155" s="616"/>
      <c r="D155" s="616"/>
      <c r="E155" s="616"/>
      <c r="F155" s="616"/>
      <c r="G155" s="629"/>
      <c r="H155" s="123"/>
      <c r="I155" s="123"/>
      <c r="J155" s="123"/>
      <c r="K155" s="123"/>
      <c r="L155" s="123"/>
      <c r="M155" s="123"/>
      <c r="N155" s="123"/>
    </row>
    <row r="156" spans="1:14">
      <c r="A156" s="628"/>
      <c r="B156" s="616"/>
      <c r="C156" s="616"/>
      <c r="D156" s="616"/>
      <c r="E156" s="616"/>
      <c r="F156" s="616"/>
      <c r="G156" s="629"/>
      <c r="H156" s="123"/>
      <c r="I156" s="123"/>
      <c r="J156" s="123"/>
      <c r="K156" s="123"/>
      <c r="L156" s="123"/>
      <c r="M156" s="123"/>
      <c r="N156" s="123"/>
    </row>
    <row r="157" spans="1:14">
      <c r="A157" s="628"/>
      <c r="B157" s="616"/>
      <c r="C157" s="616"/>
      <c r="D157" s="616"/>
      <c r="E157" s="616"/>
      <c r="F157" s="616"/>
      <c r="G157" s="629"/>
      <c r="H157" s="123"/>
      <c r="I157" s="123"/>
      <c r="J157" s="123"/>
      <c r="K157" s="123"/>
      <c r="L157" s="123"/>
      <c r="M157" s="123"/>
      <c r="N157" s="123"/>
    </row>
    <row r="158" spans="1:14">
      <c r="A158" s="628"/>
      <c r="B158" s="616"/>
      <c r="C158" s="616"/>
      <c r="D158" s="616"/>
      <c r="E158" s="616"/>
      <c r="F158" s="616"/>
      <c r="G158" s="629"/>
      <c r="H158" s="123"/>
      <c r="I158" s="123"/>
      <c r="J158" s="123"/>
      <c r="K158" s="123"/>
      <c r="L158" s="123"/>
      <c r="M158" s="123"/>
      <c r="N158" s="123"/>
    </row>
    <row r="159" spans="1:14">
      <c r="A159" s="628"/>
      <c r="B159" s="616"/>
      <c r="C159" s="616"/>
      <c r="D159" s="616"/>
      <c r="E159" s="616"/>
      <c r="F159" s="616"/>
      <c r="G159" s="629"/>
      <c r="H159" s="123"/>
      <c r="K159" s="123"/>
      <c r="L159" s="123"/>
      <c r="M159" s="123"/>
      <c r="N159" s="123"/>
    </row>
    <row r="160" spans="1:14">
      <c r="A160" s="628"/>
      <c r="B160" s="616"/>
      <c r="C160" s="616"/>
      <c r="D160" s="616"/>
      <c r="E160" s="616"/>
      <c r="F160" s="616"/>
      <c r="G160" s="629"/>
      <c r="H160" s="123"/>
      <c r="K160" s="123"/>
      <c r="L160" s="123"/>
      <c r="M160" s="123"/>
      <c r="N160" s="123"/>
    </row>
    <row r="161" spans="1:14">
      <c r="A161" s="628"/>
      <c r="B161" s="616"/>
      <c r="C161" s="616"/>
      <c r="D161" s="616"/>
      <c r="E161" s="616"/>
      <c r="F161" s="616"/>
      <c r="G161" s="629"/>
      <c r="H161" s="123"/>
      <c r="K161" s="123"/>
      <c r="L161" s="123"/>
      <c r="M161" s="123"/>
      <c r="N161" s="123"/>
    </row>
    <row r="162" spans="1:14">
      <c r="A162" s="628"/>
      <c r="B162" s="616"/>
      <c r="C162" s="616"/>
      <c r="D162" s="616"/>
      <c r="E162" s="616"/>
      <c r="F162" s="616"/>
      <c r="G162" s="629"/>
      <c r="H162" s="123"/>
      <c r="I162" s="123"/>
      <c r="J162" s="123"/>
      <c r="K162" s="123"/>
      <c r="L162" s="123"/>
      <c r="M162" s="123"/>
      <c r="N162" s="123"/>
    </row>
    <row r="163" spans="1:14" ht="15">
      <c r="A163" s="634"/>
      <c r="B163" s="617"/>
      <c r="C163" s="617"/>
      <c r="D163" s="617"/>
      <c r="E163" s="618"/>
      <c r="F163" s="617"/>
      <c r="G163" s="635"/>
      <c r="H163" s="373"/>
      <c r="I163" s="373"/>
      <c r="J163" s="373"/>
      <c r="K163" s="373"/>
      <c r="L163" s="373"/>
      <c r="M163" s="123"/>
      <c r="N163" s="123"/>
    </row>
    <row r="164" spans="1:14" ht="15">
      <c r="A164" s="634"/>
      <c r="B164" s="617"/>
      <c r="C164" s="617"/>
      <c r="D164" s="617"/>
      <c r="E164" s="618"/>
      <c r="F164" s="617"/>
      <c r="G164" s="635"/>
      <c r="H164" s="373"/>
      <c r="I164" s="373"/>
      <c r="J164" s="373"/>
      <c r="K164" s="373"/>
      <c r="L164" s="373"/>
      <c r="M164" s="123"/>
      <c r="N164" s="123"/>
    </row>
    <row r="165" spans="1:14" ht="15">
      <c r="A165" s="634"/>
      <c r="B165" s="649"/>
      <c r="C165" s="649"/>
      <c r="D165" s="649"/>
      <c r="E165" s="618"/>
      <c r="F165" s="617"/>
      <c r="G165" s="635"/>
      <c r="H165" s="373"/>
      <c r="I165" s="373"/>
      <c r="J165" s="373"/>
      <c r="K165" s="373"/>
      <c r="L165" s="373"/>
      <c r="M165" s="123"/>
      <c r="N165" s="123"/>
    </row>
    <row r="166" spans="1:14" ht="15">
      <c r="A166" s="652"/>
      <c r="B166" s="650"/>
      <c r="C166" s="650"/>
      <c r="D166" s="650"/>
      <c r="E166" s="651"/>
      <c r="F166" s="650"/>
      <c r="G166" s="653"/>
      <c r="H166" s="373"/>
      <c r="I166" s="373"/>
      <c r="J166" s="373"/>
      <c r="K166" s="373"/>
      <c r="L166" s="373"/>
      <c r="M166" s="123"/>
      <c r="N166" s="123"/>
    </row>
    <row r="167" spans="1:14" ht="15" thickBot="1">
      <c r="A167" s="654"/>
      <c r="B167" s="642"/>
      <c r="C167" s="642"/>
      <c r="D167" s="642"/>
      <c r="E167" s="619"/>
      <c r="F167" s="619"/>
      <c r="G167" s="645"/>
      <c r="K167" s="123"/>
      <c r="L167" s="123"/>
      <c r="M167" s="123"/>
      <c r="N167" s="123"/>
    </row>
    <row r="168" spans="1:14" ht="15.75" thickBot="1">
      <c r="A168" s="655"/>
      <c r="B168" s="636"/>
      <c r="C168" s="1228" t="s">
        <v>564</v>
      </c>
      <c r="D168" s="1229"/>
      <c r="E168" s="1230"/>
      <c r="F168" s="616"/>
      <c r="G168" s="629"/>
      <c r="K168" s="123"/>
      <c r="L168" s="123"/>
      <c r="M168" s="123"/>
      <c r="N168" s="123"/>
    </row>
    <row r="169" spans="1:14">
      <c r="A169" s="655"/>
      <c r="B169" s="643"/>
      <c r="C169" s="374" t="s">
        <v>296</v>
      </c>
      <c r="D169" s="465" t="s">
        <v>297</v>
      </c>
      <c r="E169" s="464" t="s">
        <v>660</v>
      </c>
      <c r="F169" s="616"/>
      <c r="G169" s="629"/>
      <c r="K169" s="123"/>
      <c r="L169" s="123"/>
      <c r="M169" s="123"/>
      <c r="N169" s="123"/>
    </row>
    <row r="170" spans="1:14" ht="15" thickBot="1">
      <c r="A170" s="655"/>
      <c r="B170" s="644"/>
      <c r="C170" s="639">
        <v>2564.94</v>
      </c>
      <c r="D170" s="640">
        <v>2053.23</v>
      </c>
      <c r="E170" s="641">
        <v>2505</v>
      </c>
      <c r="F170" s="616"/>
      <c r="G170" s="629"/>
      <c r="K170" s="123"/>
      <c r="L170" s="123"/>
      <c r="M170" s="123"/>
      <c r="N170" s="123"/>
    </row>
    <row r="171" spans="1:14" ht="15.75" thickBot="1">
      <c r="A171" s="655"/>
      <c r="B171" s="636"/>
      <c r="C171" s="1231">
        <f>(C170+D170+E170)/3</f>
        <v>2374.39</v>
      </c>
      <c r="D171" s="1232"/>
      <c r="E171" s="1233"/>
      <c r="F171" s="616"/>
      <c r="G171" s="629"/>
      <c r="K171" s="123"/>
      <c r="L171" s="123"/>
      <c r="M171" s="123"/>
      <c r="N171" s="123"/>
    </row>
    <row r="172" spans="1:14" ht="15" thickBot="1">
      <c r="A172" s="630"/>
      <c r="B172" s="656"/>
      <c r="C172" s="656"/>
      <c r="D172" s="656"/>
      <c r="E172" s="631"/>
      <c r="F172" s="631"/>
      <c r="G172" s="632"/>
      <c r="K172" s="123"/>
      <c r="L172" s="123"/>
      <c r="M172" s="123"/>
      <c r="N172" s="123"/>
    </row>
    <row r="173" spans="1:14">
      <c r="K173" s="123"/>
      <c r="L173" s="123"/>
      <c r="M173" s="123"/>
      <c r="N173" s="123"/>
    </row>
    <row r="174" spans="1:14">
      <c r="K174" s="123"/>
      <c r="L174" s="123"/>
      <c r="M174" s="123"/>
      <c r="N174" s="123"/>
    </row>
    <row r="175" spans="1:14">
      <c r="K175" s="123"/>
      <c r="L175" s="123"/>
      <c r="M175" s="123"/>
      <c r="N175" s="123"/>
    </row>
  </sheetData>
  <mergeCells count="56">
    <mergeCell ref="A1:G3"/>
    <mergeCell ref="B45:B54"/>
    <mergeCell ref="A5:A34"/>
    <mergeCell ref="B34:D34"/>
    <mergeCell ref="A35:A58"/>
    <mergeCell ref="B55:B57"/>
    <mergeCell ref="G38:G39"/>
    <mergeCell ref="B58:D58"/>
    <mergeCell ref="C40:C41"/>
    <mergeCell ref="E40:E41"/>
    <mergeCell ref="G40:G41"/>
    <mergeCell ref="C42:C43"/>
    <mergeCell ref="G42:G43"/>
    <mergeCell ref="G45:G47"/>
    <mergeCell ref="G50:G51"/>
    <mergeCell ref="C22:C23"/>
    <mergeCell ref="B24:B33"/>
    <mergeCell ref="C27:C28"/>
    <mergeCell ref="D27:D28"/>
    <mergeCell ref="G27:G28"/>
    <mergeCell ref="C29:C30"/>
    <mergeCell ref="D29:D30"/>
    <mergeCell ref="G29:G30"/>
    <mergeCell ref="C31:C32"/>
    <mergeCell ref="A90:G93"/>
    <mergeCell ref="A115:G118"/>
    <mergeCell ref="B5:B12"/>
    <mergeCell ref="C5:C6"/>
    <mergeCell ref="C7:C8"/>
    <mergeCell ref="C9:C10"/>
    <mergeCell ref="G9:G10"/>
    <mergeCell ref="C11:C12"/>
    <mergeCell ref="G11:G12"/>
    <mergeCell ref="B13:B23"/>
    <mergeCell ref="D31:D32"/>
    <mergeCell ref="G31:G32"/>
    <mergeCell ref="C33:D33"/>
    <mergeCell ref="C13:C14"/>
    <mergeCell ref="G13:G18"/>
    <mergeCell ref="C15:C16"/>
    <mergeCell ref="A137:G140"/>
    <mergeCell ref="A89:G89"/>
    <mergeCell ref="C168:E168"/>
    <mergeCell ref="C171:E171"/>
    <mergeCell ref="C17:C18"/>
    <mergeCell ref="C19:C20"/>
    <mergeCell ref="G19:G20"/>
    <mergeCell ref="G22:G23"/>
    <mergeCell ref="A59:D60"/>
    <mergeCell ref="B35:B43"/>
    <mergeCell ref="C35:C36"/>
    <mergeCell ref="E35:E36"/>
    <mergeCell ref="C38:C39"/>
    <mergeCell ref="E38:E39"/>
    <mergeCell ref="C66:E66"/>
    <mergeCell ref="A63:G63"/>
  </mergeCells>
  <phoneticPr fontId="17" type="noConversion"/>
  <hyperlinks>
    <hyperlink ref="A115" r:id="rId1" xr:uid="{00C408F7-473C-446D-8171-521853E30D03}"/>
  </hyperlinks>
  <pageMargins left="0.7" right="0.7" top="0.75" bottom="0.75" header="0.3" footer="0.3"/>
  <pageSetup paperSize="9" scale="55" fitToHeight="0" orientation="portrait" r:id="rId2"/>
  <rowBreaks count="3" manualBreakCount="3">
    <brk id="34" max="6" man="1"/>
    <brk id="54" max="6" man="1"/>
    <brk id="114" max="6" man="1"/>
  </rowBreaks>
  <drawing r:id="rId3"/>
  <legacyDrawing r:id="rId4"/>
  <oleObjects>
    <mc:AlternateContent xmlns:mc="http://schemas.openxmlformats.org/markup-compatibility/2006">
      <mc:Choice Requires="x14">
        <oleObject progId="CorelDraw.Graphic.18" shapeId="21505" r:id="rId5">
          <objectPr defaultSize="0" autoPict="0" r:id="rId6">
            <anchor moveWithCells="1">
              <from>
                <xdr:col>1</xdr:col>
                <xdr:colOff>381000</xdr:colOff>
                <xdr:row>0</xdr:row>
                <xdr:rowOff>161925</xdr:rowOff>
              </from>
              <to>
                <xdr:col>2</xdr:col>
                <xdr:colOff>0</xdr:colOff>
                <xdr:row>2</xdr:row>
                <xdr:rowOff>295275</xdr:rowOff>
              </to>
            </anchor>
          </objectPr>
        </oleObject>
      </mc:Choice>
      <mc:Fallback>
        <oleObject progId="CorelDraw.Graphic.18" shapeId="21505" r:id="rId5"/>
      </mc:Fallback>
    </mc:AlternateContent>
  </oleObject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0B1D15-C7E8-48C6-9438-C42C0C7A0808}">
  <sheetPr>
    <pageSetUpPr fitToPage="1"/>
  </sheetPr>
  <dimension ref="A1:T241"/>
  <sheetViews>
    <sheetView view="pageBreakPreview" topLeftCell="A37" zoomScale="70" zoomScaleNormal="70" zoomScaleSheetLayoutView="70" workbookViewId="0">
      <selection activeCell="G57" sqref="G57"/>
    </sheetView>
  </sheetViews>
  <sheetFormatPr defaultRowHeight="14.25"/>
  <cols>
    <col min="1" max="1" width="15.625" style="93" customWidth="1"/>
    <col min="2" max="2" width="17" style="93" customWidth="1"/>
    <col min="3" max="3" width="23.375" style="93" customWidth="1"/>
    <col min="4" max="4" width="15.125" style="93" bestFit="1" customWidth="1"/>
    <col min="5" max="5" width="18.25" style="93" bestFit="1" customWidth="1"/>
    <col min="6" max="6" width="11.125" style="93" customWidth="1"/>
    <col min="7" max="7" width="45.625" style="93" customWidth="1"/>
    <col min="8" max="8" width="9" style="93"/>
    <col min="9" max="9" width="15.25" style="93" bestFit="1" customWidth="1"/>
    <col min="10" max="10" width="11.25" style="93" customWidth="1"/>
    <col min="11" max="11" width="19" style="93" bestFit="1" customWidth="1"/>
    <col min="12" max="16384" width="9" style="93"/>
  </cols>
  <sheetData>
    <row r="1" spans="1:20" ht="25.5" customHeight="1">
      <c r="A1" s="1279" t="s">
        <v>717</v>
      </c>
      <c r="B1" s="1280"/>
      <c r="C1" s="1280"/>
      <c r="D1" s="1280"/>
      <c r="E1" s="1280"/>
      <c r="F1" s="1280"/>
      <c r="G1" s="1281"/>
      <c r="H1" s="151"/>
      <c r="I1" s="151"/>
      <c r="J1" s="151"/>
      <c r="K1" s="151"/>
      <c r="L1" s="151"/>
      <c r="M1" s="151"/>
      <c r="N1" s="151"/>
      <c r="O1" s="151"/>
      <c r="P1" s="151"/>
      <c r="Q1" s="151"/>
      <c r="R1" s="151"/>
      <c r="S1" s="151"/>
      <c r="T1" s="151"/>
    </row>
    <row r="2" spans="1:20" ht="15">
      <c r="A2" s="1282"/>
      <c r="B2" s="1283"/>
      <c r="C2" s="1283"/>
      <c r="D2" s="1283"/>
      <c r="E2" s="1283"/>
      <c r="F2" s="1283"/>
      <c r="G2" s="1284"/>
      <c r="H2" s="151"/>
      <c r="I2" s="151"/>
      <c r="J2" s="151"/>
      <c r="K2" s="151"/>
      <c r="L2" s="151"/>
      <c r="M2" s="151"/>
      <c r="N2" s="151"/>
      <c r="O2" s="151"/>
      <c r="P2" s="151"/>
      <c r="Q2" s="151"/>
      <c r="R2" s="151"/>
      <c r="S2" s="151"/>
      <c r="T2" s="151"/>
    </row>
    <row r="3" spans="1:20" ht="33.75" customHeight="1" thickBot="1">
      <c r="A3" s="1285"/>
      <c r="B3" s="1286"/>
      <c r="C3" s="1286"/>
      <c r="D3" s="1286"/>
      <c r="E3" s="1286"/>
      <c r="F3" s="1286"/>
      <c r="G3" s="1287"/>
      <c r="H3" s="151"/>
      <c r="I3" s="151"/>
      <c r="J3" s="151"/>
      <c r="K3" s="151"/>
      <c r="L3" s="151"/>
      <c r="M3" s="151"/>
      <c r="N3" s="151"/>
      <c r="O3" s="151"/>
      <c r="P3" s="151"/>
      <c r="Q3" s="151"/>
      <c r="R3" s="151"/>
      <c r="S3" s="151"/>
      <c r="T3" s="151"/>
    </row>
    <row r="4" spans="1:20" ht="15.75" thickBot="1">
      <c r="A4" s="445" t="s">
        <v>298</v>
      </c>
      <c r="B4" s="446" t="s">
        <v>299</v>
      </c>
      <c r="C4" s="446" t="s">
        <v>300</v>
      </c>
      <c r="D4" s="446"/>
      <c r="E4" s="446" t="s">
        <v>301</v>
      </c>
      <c r="F4" s="446" t="s">
        <v>17</v>
      </c>
      <c r="G4" s="206" t="s">
        <v>302</v>
      </c>
      <c r="H4" s="151"/>
      <c r="I4" s="151"/>
      <c r="J4" s="151"/>
      <c r="K4" s="151"/>
      <c r="L4" s="151"/>
      <c r="M4" s="151"/>
      <c r="N4" s="151"/>
      <c r="O4" s="151"/>
      <c r="P4" s="151"/>
      <c r="Q4" s="151"/>
      <c r="R4" s="151"/>
      <c r="S4" s="151"/>
      <c r="T4" s="151"/>
    </row>
    <row r="5" spans="1:20" ht="120">
      <c r="A5" s="1289" t="s">
        <v>426</v>
      </c>
      <c r="B5" s="1288" t="s">
        <v>386</v>
      </c>
      <c r="C5" s="1250" t="s">
        <v>303</v>
      </c>
      <c r="D5" s="458" t="s">
        <v>304</v>
      </c>
      <c r="E5" s="207">
        <v>295471</v>
      </c>
      <c r="F5" s="458" t="s">
        <v>305</v>
      </c>
      <c r="G5" s="463" t="s">
        <v>718</v>
      </c>
      <c r="H5" s="222"/>
      <c r="I5" s="222"/>
      <c r="J5" s="222"/>
      <c r="K5" s="222"/>
      <c r="L5" s="222"/>
      <c r="M5" s="222"/>
      <c r="N5" s="222"/>
      <c r="O5" s="222"/>
      <c r="P5" s="222"/>
      <c r="Q5" s="222"/>
      <c r="R5" s="222"/>
      <c r="S5" s="222"/>
      <c r="T5" s="222"/>
    </row>
    <row r="6" spans="1:20" ht="15">
      <c r="A6" s="1290"/>
      <c r="B6" s="1267"/>
      <c r="C6" s="1234"/>
      <c r="D6" s="454" t="s">
        <v>306</v>
      </c>
      <c r="E6" s="208">
        <f>E5*25%</f>
        <v>73867.75</v>
      </c>
      <c r="F6" s="454" t="s">
        <v>305</v>
      </c>
      <c r="G6" s="459" t="s">
        <v>721</v>
      </c>
      <c r="H6" s="222"/>
      <c r="I6" s="222"/>
      <c r="J6" s="222"/>
      <c r="K6" s="222"/>
      <c r="L6" s="222"/>
      <c r="M6" s="222"/>
      <c r="N6" s="222"/>
      <c r="O6" s="222"/>
      <c r="P6" s="222"/>
      <c r="Q6" s="222"/>
      <c r="R6" s="222"/>
      <c r="S6" s="222"/>
      <c r="T6" s="222"/>
    </row>
    <row r="7" spans="1:20" ht="90">
      <c r="A7" s="1290"/>
      <c r="B7" s="1267"/>
      <c r="C7" s="1234" t="s">
        <v>307</v>
      </c>
      <c r="D7" s="454" t="s">
        <v>304</v>
      </c>
      <c r="E7" s="208">
        <f>E5*20%</f>
        <v>59094.200000000004</v>
      </c>
      <c r="F7" s="454" t="s">
        <v>305</v>
      </c>
      <c r="G7" s="459" t="s">
        <v>308</v>
      </c>
      <c r="H7" s="222"/>
      <c r="I7" s="222"/>
      <c r="J7" s="222"/>
      <c r="K7" s="222"/>
      <c r="L7" s="222"/>
      <c r="M7" s="222"/>
      <c r="N7" s="222"/>
      <c r="O7" s="222"/>
      <c r="P7" s="222"/>
      <c r="Q7" s="222"/>
      <c r="R7" s="222"/>
      <c r="S7" s="222"/>
      <c r="T7" s="222"/>
    </row>
    <row r="8" spans="1:20" ht="15">
      <c r="A8" s="1290"/>
      <c r="B8" s="1267"/>
      <c r="C8" s="1234"/>
      <c r="D8" s="454" t="s">
        <v>306</v>
      </c>
      <c r="E8" s="208">
        <f>E6*20%</f>
        <v>14773.550000000001</v>
      </c>
      <c r="F8" s="454" t="s">
        <v>305</v>
      </c>
      <c r="G8" s="460" t="s">
        <v>309</v>
      </c>
      <c r="H8" s="222"/>
      <c r="I8" s="222"/>
      <c r="J8" s="598"/>
      <c r="K8" s="598"/>
      <c r="L8" s="222"/>
      <c r="M8" s="222"/>
      <c r="N8" s="222"/>
      <c r="O8" s="222"/>
      <c r="P8" s="222"/>
      <c r="Q8" s="222"/>
      <c r="R8" s="222"/>
      <c r="S8" s="222"/>
      <c r="T8" s="222"/>
    </row>
    <row r="9" spans="1:20" ht="40.5" customHeight="1">
      <c r="A9" s="1290"/>
      <c r="B9" s="1267"/>
      <c r="C9" s="1234" t="s">
        <v>310</v>
      </c>
      <c r="D9" s="458" t="s">
        <v>304</v>
      </c>
      <c r="E9" s="209">
        <v>120</v>
      </c>
      <c r="F9" s="454" t="s">
        <v>311</v>
      </c>
      <c r="G9" s="1269" t="s">
        <v>312</v>
      </c>
      <c r="H9" s="222"/>
      <c r="I9" s="222"/>
      <c r="J9" s="222"/>
      <c r="K9" s="222"/>
      <c r="L9" s="222"/>
      <c r="M9" s="222"/>
      <c r="N9" s="222"/>
      <c r="O9" s="222"/>
      <c r="P9" s="222"/>
      <c r="Q9" s="222"/>
      <c r="R9" s="222"/>
      <c r="S9" s="222"/>
      <c r="T9" s="222"/>
    </row>
    <row r="10" spans="1:20" ht="15">
      <c r="A10" s="1290"/>
      <c r="B10" s="1267"/>
      <c r="C10" s="1234"/>
      <c r="D10" s="454" t="s">
        <v>306</v>
      </c>
      <c r="E10" s="209">
        <v>120</v>
      </c>
      <c r="F10" s="454" t="s">
        <v>311</v>
      </c>
      <c r="G10" s="1269"/>
      <c r="H10" s="222"/>
      <c r="I10" s="222"/>
      <c r="J10" s="599"/>
      <c r="K10" s="222"/>
      <c r="L10" s="222"/>
      <c r="M10" s="222"/>
      <c r="N10" s="222"/>
      <c r="O10" s="222"/>
      <c r="P10" s="222"/>
      <c r="Q10" s="222"/>
      <c r="R10" s="222"/>
      <c r="S10" s="222"/>
      <c r="T10" s="222"/>
    </row>
    <row r="11" spans="1:20" ht="36.75" customHeight="1">
      <c r="A11" s="1290"/>
      <c r="B11" s="1267"/>
      <c r="C11" s="1234" t="s">
        <v>313</v>
      </c>
      <c r="D11" s="454" t="s">
        <v>304</v>
      </c>
      <c r="E11" s="208">
        <f>(E5-E7)/E9</f>
        <v>1969.8066666666666</v>
      </c>
      <c r="F11" s="454" t="s">
        <v>314</v>
      </c>
      <c r="G11" s="1269" t="s">
        <v>315</v>
      </c>
      <c r="H11" s="222"/>
      <c r="I11" s="222"/>
      <c r="J11" s="222"/>
      <c r="K11" s="222"/>
      <c r="L11" s="222"/>
      <c r="M11" s="222"/>
      <c r="N11" s="222"/>
      <c r="O11" s="222"/>
      <c r="P11" s="222"/>
      <c r="Q11" s="222"/>
      <c r="R11" s="222"/>
      <c r="S11" s="222"/>
      <c r="T11" s="222"/>
    </row>
    <row r="12" spans="1:20" ht="42" customHeight="1">
      <c r="A12" s="1290"/>
      <c r="B12" s="1267"/>
      <c r="C12" s="1234"/>
      <c r="D12" s="454" t="s">
        <v>306</v>
      </c>
      <c r="E12" s="208">
        <f>(E6-E8)/E10</f>
        <v>492.45166666666665</v>
      </c>
      <c r="F12" s="454" t="s">
        <v>314</v>
      </c>
      <c r="G12" s="1237"/>
      <c r="H12" s="222"/>
      <c r="I12" s="222"/>
      <c r="J12" s="222"/>
      <c r="K12" s="222"/>
      <c r="L12" s="222"/>
      <c r="M12" s="222"/>
      <c r="N12" s="222"/>
      <c r="O12" s="222"/>
      <c r="P12" s="222"/>
      <c r="Q12" s="222"/>
      <c r="R12" s="222"/>
      <c r="S12" s="222"/>
      <c r="T12" s="222"/>
    </row>
    <row r="13" spans="1:20" ht="30">
      <c r="A13" s="1290"/>
      <c r="B13" s="1267" t="s">
        <v>387</v>
      </c>
      <c r="C13" s="1234" t="s">
        <v>316</v>
      </c>
      <c r="D13" s="454" t="s">
        <v>317</v>
      </c>
      <c r="E13" s="210">
        <v>9</v>
      </c>
      <c r="F13" s="454" t="s">
        <v>318</v>
      </c>
      <c r="G13" s="1269" t="s">
        <v>319</v>
      </c>
      <c r="H13" s="222"/>
      <c r="I13" s="222"/>
      <c r="J13" s="222"/>
      <c r="K13" s="222"/>
      <c r="L13" s="222"/>
      <c r="M13" s="222"/>
      <c r="N13" s="222"/>
      <c r="O13" s="222"/>
      <c r="P13" s="222"/>
      <c r="Q13" s="222"/>
      <c r="R13" s="222"/>
      <c r="S13" s="222"/>
      <c r="T13" s="222"/>
    </row>
    <row r="14" spans="1:20" ht="15">
      <c r="A14" s="1290"/>
      <c r="B14" s="1267"/>
      <c r="C14" s="1234"/>
      <c r="D14" s="447" t="s">
        <v>306</v>
      </c>
      <c r="E14" s="210">
        <v>9</v>
      </c>
      <c r="F14" s="447" t="s">
        <v>318</v>
      </c>
      <c r="G14" s="1269"/>
      <c r="H14" s="222"/>
      <c r="I14" s="222"/>
      <c r="J14" s="222"/>
      <c r="K14" s="222"/>
      <c r="L14" s="222"/>
      <c r="M14" s="222"/>
      <c r="N14" s="222"/>
      <c r="O14" s="222"/>
      <c r="P14" s="222"/>
      <c r="Q14" s="222"/>
      <c r="R14" s="222"/>
      <c r="S14" s="222"/>
      <c r="T14" s="222"/>
    </row>
    <row r="15" spans="1:20" ht="30">
      <c r="A15" s="1290"/>
      <c r="B15" s="1267"/>
      <c r="C15" s="1234" t="s">
        <v>320</v>
      </c>
      <c r="D15" s="454" t="s">
        <v>317</v>
      </c>
      <c r="E15" s="208">
        <f>E5-(E11*12)</f>
        <v>271833.32</v>
      </c>
      <c r="F15" s="454" t="s">
        <v>305</v>
      </c>
      <c r="G15" s="1269"/>
      <c r="H15" s="222"/>
      <c r="I15" s="222"/>
      <c r="J15" s="222"/>
      <c r="K15" s="222"/>
      <c r="L15" s="222"/>
      <c r="M15" s="222"/>
      <c r="N15" s="222"/>
      <c r="O15" s="222"/>
      <c r="P15" s="222"/>
      <c r="Q15" s="222"/>
      <c r="R15" s="222"/>
      <c r="S15" s="222"/>
      <c r="T15" s="222"/>
    </row>
    <row r="16" spans="1:20" ht="15">
      <c r="A16" s="1290"/>
      <c r="B16" s="1267"/>
      <c r="C16" s="1234"/>
      <c r="D16" s="447" t="s">
        <v>306</v>
      </c>
      <c r="E16" s="208">
        <f>E6-(E12*12)</f>
        <v>67958.33</v>
      </c>
      <c r="F16" s="454" t="s">
        <v>305</v>
      </c>
      <c r="G16" s="1269"/>
      <c r="H16" s="222"/>
      <c r="I16" s="222"/>
      <c r="J16" s="222"/>
      <c r="K16" s="222"/>
      <c r="L16" s="222"/>
      <c r="M16" s="222"/>
      <c r="N16" s="222"/>
      <c r="O16" s="222"/>
      <c r="P16" s="222"/>
      <c r="Q16" s="222"/>
      <c r="R16" s="222"/>
      <c r="S16" s="222"/>
      <c r="T16" s="222"/>
    </row>
    <row r="17" spans="1:20" ht="30">
      <c r="A17" s="1290"/>
      <c r="B17" s="1267"/>
      <c r="C17" s="1234" t="s">
        <v>321</v>
      </c>
      <c r="D17" s="454" t="s">
        <v>317</v>
      </c>
      <c r="E17" s="210">
        <v>1</v>
      </c>
      <c r="F17" s="454" t="s">
        <v>318</v>
      </c>
      <c r="G17" s="1269"/>
      <c r="H17" s="222"/>
      <c r="I17" s="222"/>
      <c r="J17" s="222"/>
      <c r="K17" s="222"/>
      <c r="L17" s="222"/>
      <c r="M17" s="222"/>
      <c r="N17" s="222"/>
      <c r="O17" s="222"/>
      <c r="P17" s="222"/>
      <c r="Q17" s="222"/>
      <c r="R17" s="222"/>
      <c r="S17" s="222"/>
      <c r="T17" s="222"/>
    </row>
    <row r="18" spans="1:20" ht="15">
      <c r="A18" s="1290"/>
      <c r="B18" s="1267"/>
      <c r="C18" s="1234"/>
      <c r="D18" s="447" t="s">
        <v>306</v>
      </c>
      <c r="E18" s="210">
        <v>1</v>
      </c>
      <c r="F18" s="454" t="s">
        <v>318</v>
      </c>
      <c r="G18" s="1269"/>
      <c r="H18" s="222"/>
      <c r="I18" s="222"/>
      <c r="J18" s="222"/>
      <c r="K18" s="222"/>
      <c r="L18" s="222"/>
      <c r="M18" s="222"/>
      <c r="N18" s="222"/>
      <c r="O18" s="222"/>
      <c r="P18" s="222"/>
      <c r="Q18" s="222"/>
      <c r="R18" s="222"/>
      <c r="S18" s="222"/>
      <c r="T18" s="222"/>
    </row>
    <row r="19" spans="1:20" ht="30">
      <c r="A19" s="1290"/>
      <c r="B19" s="1267"/>
      <c r="C19" s="1234" t="s">
        <v>322</v>
      </c>
      <c r="D19" s="454" t="s">
        <v>317</v>
      </c>
      <c r="E19" s="212">
        <f>((E15-E7)*(E17+1)/2*E17)+E7</f>
        <v>271833.32</v>
      </c>
      <c r="F19" s="454" t="s">
        <v>305</v>
      </c>
      <c r="G19" s="1235" t="s">
        <v>323</v>
      </c>
      <c r="H19" s="222"/>
      <c r="I19" s="222"/>
      <c r="J19" s="222"/>
      <c r="K19" s="222"/>
      <c r="L19" s="222"/>
      <c r="M19" s="222"/>
      <c r="N19" s="222"/>
      <c r="O19" s="222"/>
      <c r="P19" s="222"/>
      <c r="Q19" s="222"/>
      <c r="R19" s="222"/>
      <c r="S19" s="222"/>
      <c r="T19" s="222"/>
    </row>
    <row r="20" spans="1:20" ht="15">
      <c r="A20" s="1290"/>
      <c r="B20" s="1267"/>
      <c r="C20" s="1234"/>
      <c r="D20" s="447" t="s">
        <v>306</v>
      </c>
      <c r="E20" s="212">
        <f>((E16-E8)*(E18+1)/2*E18)+E8</f>
        <v>67958.33</v>
      </c>
      <c r="F20" s="454" t="s">
        <v>305</v>
      </c>
      <c r="G20" s="1236"/>
      <c r="H20" s="222"/>
      <c r="I20" s="222"/>
      <c r="J20" s="222"/>
      <c r="K20" s="222"/>
      <c r="L20" s="222"/>
      <c r="M20" s="222"/>
      <c r="N20" s="222"/>
      <c r="O20" s="222"/>
      <c r="P20" s="222"/>
      <c r="Q20" s="222"/>
      <c r="R20" s="222"/>
      <c r="S20" s="222"/>
      <c r="T20" s="222"/>
    </row>
    <row r="21" spans="1:20" ht="45">
      <c r="A21" s="1290"/>
      <c r="B21" s="1267"/>
      <c r="C21" s="454" t="s">
        <v>324</v>
      </c>
      <c r="D21" s="447" t="s">
        <v>16</v>
      </c>
      <c r="E21" s="213">
        <f>SELIC</f>
        <v>0.14649999999999999</v>
      </c>
      <c r="F21" s="447" t="s">
        <v>325</v>
      </c>
      <c r="G21" s="459" t="s">
        <v>326</v>
      </c>
      <c r="H21" s="222"/>
      <c r="I21" s="222"/>
      <c r="J21" s="222"/>
      <c r="K21" s="222"/>
      <c r="L21" s="222"/>
      <c r="M21" s="222"/>
      <c r="N21" s="222"/>
      <c r="O21" s="222"/>
      <c r="P21" s="222"/>
      <c r="Q21" s="222"/>
      <c r="R21" s="222"/>
      <c r="S21" s="222"/>
      <c r="T21" s="222"/>
    </row>
    <row r="22" spans="1:20" ht="30">
      <c r="A22" s="1290"/>
      <c r="B22" s="1267"/>
      <c r="C22" s="1234" t="s">
        <v>327</v>
      </c>
      <c r="D22" s="454" t="s">
        <v>317</v>
      </c>
      <c r="E22" s="212">
        <f>(E19*E21)/12</f>
        <v>3318.6317816666665</v>
      </c>
      <c r="F22" s="454" t="s">
        <v>305</v>
      </c>
      <c r="G22" s="1237" t="s">
        <v>328</v>
      </c>
      <c r="H22" s="222"/>
      <c r="I22" s="222"/>
      <c r="J22" s="222"/>
      <c r="K22" s="222"/>
      <c r="L22" s="222"/>
      <c r="M22" s="222"/>
      <c r="N22" s="222"/>
      <c r="O22" s="222"/>
      <c r="P22" s="222"/>
      <c r="Q22" s="222"/>
      <c r="R22" s="222"/>
      <c r="S22" s="222"/>
      <c r="T22" s="222"/>
    </row>
    <row r="23" spans="1:20" ht="15">
      <c r="A23" s="1290"/>
      <c r="B23" s="1267"/>
      <c r="C23" s="1234"/>
      <c r="D23" s="447" t="s">
        <v>306</v>
      </c>
      <c r="E23" s="212">
        <f>(E20*E21)/12</f>
        <v>829.65794541666662</v>
      </c>
      <c r="F23" s="454" t="s">
        <v>305</v>
      </c>
      <c r="G23" s="1237"/>
      <c r="H23" s="222"/>
      <c r="I23" s="222"/>
      <c r="J23" s="222"/>
      <c r="K23" s="222"/>
      <c r="L23" s="222"/>
      <c r="M23" s="222"/>
      <c r="N23" s="222"/>
      <c r="O23" s="222"/>
      <c r="P23" s="222"/>
      <c r="Q23" s="222"/>
      <c r="R23" s="222"/>
      <c r="S23" s="222"/>
      <c r="T23" s="222"/>
    </row>
    <row r="24" spans="1:20" ht="60">
      <c r="A24" s="1290"/>
      <c r="B24" s="1274" t="s">
        <v>388</v>
      </c>
      <c r="C24" s="454" t="s">
        <v>329</v>
      </c>
      <c r="D24" s="454" t="s">
        <v>317</v>
      </c>
      <c r="E24" s="213">
        <v>0.01</v>
      </c>
      <c r="F24" s="454" t="s">
        <v>330</v>
      </c>
      <c r="G24" s="459" t="s">
        <v>331</v>
      </c>
      <c r="H24" s="222"/>
      <c r="I24" s="222"/>
      <c r="J24" s="222"/>
      <c r="K24" s="222"/>
      <c r="L24" s="222"/>
      <c r="M24" s="222"/>
      <c r="N24" s="222"/>
      <c r="O24" s="222"/>
      <c r="P24" s="222"/>
      <c r="Q24" s="222"/>
      <c r="R24" s="222"/>
      <c r="S24" s="222"/>
      <c r="T24" s="222"/>
    </row>
    <row r="25" spans="1:20" ht="60">
      <c r="A25" s="1290"/>
      <c r="B25" s="1275"/>
      <c r="C25" s="454" t="s">
        <v>332</v>
      </c>
      <c r="D25" s="454" t="s">
        <v>317</v>
      </c>
      <c r="E25" s="212">
        <f>E15</f>
        <v>271833.32</v>
      </c>
      <c r="F25" s="454" t="s">
        <v>305</v>
      </c>
      <c r="G25" s="455" t="s">
        <v>16</v>
      </c>
      <c r="H25" s="222"/>
      <c r="I25" s="222"/>
      <c r="J25" s="222"/>
      <c r="K25" s="222"/>
      <c r="L25" s="222"/>
      <c r="M25" s="222"/>
      <c r="N25" s="222"/>
      <c r="O25" s="222"/>
      <c r="P25" s="222"/>
      <c r="Q25" s="222"/>
      <c r="R25" s="222"/>
      <c r="S25" s="222"/>
      <c r="T25" s="222"/>
    </row>
    <row r="26" spans="1:20" ht="30">
      <c r="A26" s="1290"/>
      <c r="B26" s="1275"/>
      <c r="C26" s="447" t="s">
        <v>334</v>
      </c>
      <c r="D26" s="454" t="s">
        <v>317</v>
      </c>
      <c r="E26" s="212">
        <f>(E15*E24)/12</f>
        <v>226.52776666666668</v>
      </c>
      <c r="F26" s="454" t="s">
        <v>314</v>
      </c>
      <c r="G26" s="455" t="s">
        <v>333</v>
      </c>
      <c r="H26" s="222"/>
      <c r="I26" s="222"/>
      <c r="J26" s="222"/>
      <c r="K26" s="222"/>
      <c r="L26" s="222"/>
      <c r="M26" s="222"/>
      <c r="N26" s="222"/>
      <c r="O26" s="222"/>
      <c r="P26" s="222"/>
      <c r="Q26" s="222"/>
      <c r="R26" s="222"/>
      <c r="S26" s="222"/>
      <c r="T26" s="222"/>
    </row>
    <row r="27" spans="1:20" ht="30" customHeight="1">
      <c r="A27" s="1290"/>
      <c r="B27" s="1275"/>
      <c r="C27" s="1276" t="s">
        <v>335</v>
      </c>
      <c r="D27" s="1249" t="s">
        <v>317</v>
      </c>
      <c r="E27" s="214">
        <v>0</v>
      </c>
      <c r="F27" s="454" t="s">
        <v>336</v>
      </c>
      <c r="G27" s="1277" t="s">
        <v>337</v>
      </c>
      <c r="H27" s="222"/>
      <c r="I27" s="222"/>
      <c r="J27" s="222"/>
      <c r="K27" s="222"/>
      <c r="L27" s="222"/>
      <c r="M27" s="222"/>
      <c r="N27" s="222"/>
      <c r="O27" s="222"/>
      <c r="P27" s="222"/>
      <c r="Q27" s="222"/>
      <c r="R27" s="222"/>
      <c r="S27" s="222"/>
      <c r="T27" s="222"/>
    </row>
    <row r="28" spans="1:20" ht="15">
      <c r="A28" s="1290"/>
      <c r="B28" s="1275"/>
      <c r="C28" s="1109"/>
      <c r="D28" s="1250"/>
      <c r="E28" s="214">
        <v>0</v>
      </c>
      <c r="F28" s="454" t="s">
        <v>314</v>
      </c>
      <c r="G28" s="1278"/>
      <c r="H28" s="222"/>
      <c r="I28" s="222"/>
      <c r="J28" s="222"/>
      <c r="K28" s="222"/>
      <c r="L28" s="222"/>
      <c r="M28" s="222"/>
      <c r="N28" s="222"/>
      <c r="O28" s="222"/>
      <c r="P28" s="222"/>
      <c r="Q28" s="222"/>
      <c r="R28" s="222"/>
      <c r="S28" s="222"/>
      <c r="T28" s="222"/>
    </row>
    <row r="29" spans="1:20" ht="24" customHeight="1">
      <c r="A29" s="1290"/>
      <c r="B29" s="1275"/>
      <c r="C29" s="1276" t="s">
        <v>338</v>
      </c>
      <c r="D29" s="1249" t="s">
        <v>317</v>
      </c>
      <c r="E29" s="214">
        <v>35.619999999999997</v>
      </c>
      <c r="F29" s="454" t="s">
        <v>336</v>
      </c>
      <c r="G29" s="1277" t="s">
        <v>720</v>
      </c>
      <c r="H29" s="222"/>
      <c r="I29" s="222"/>
      <c r="J29" s="222"/>
      <c r="K29" s="222"/>
      <c r="L29" s="222"/>
      <c r="M29" s="222"/>
      <c r="N29" s="222"/>
      <c r="O29" s="222"/>
      <c r="P29" s="222"/>
      <c r="Q29" s="222"/>
      <c r="R29" s="222"/>
      <c r="S29" s="222"/>
      <c r="T29" s="222"/>
    </row>
    <row r="30" spans="1:20" ht="21.75" customHeight="1">
      <c r="A30" s="1290"/>
      <c r="B30" s="1275"/>
      <c r="C30" s="1109"/>
      <c r="D30" s="1250"/>
      <c r="E30" s="214">
        <f>E29/12</f>
        <v>2.9683333333333333</v>
      </c>
      <c r="F30" s="454" t="s">
        <v>314</v>
      </c>
      <c r="G30" s="1278"/>
      <c r="H30" s="222"/>
      <c r="I30" s="598"/>
      <c r="J30" s="222"/>
      <c r="K30" s="222"/>
      <c r="L30" s="222"/>
      <c r="M30" s="222"/>
      <c r="N30" s="222"/>
      <c r="O30" s="222"/>
      <c r="P30" s="222"/>
      <c r="Q30" s="222"/>
      <c r="R30" s="222"/>
      <c r="S30" s="222"/>
      <c r="T30" s="222"/>
    </row>
    <row r="31" spans="1:20" ht="15">
      <c r="A31" s="1290"/>
      <c r="B31" s="1275"/>
      <c r="C31" s="1276" t="s">
        <v>340</v>
      </c>
      <c r="D31" s="1249" t="s">
        <v>317</v>
      </c>
      <c r="E31" s="281">
        <f>E5*2%</f>
        <v>5909.42</v>
      </c>
      <c r="F31" s="454" t="s">
        <v>336</v>
      </c>
      <c r="G31" s="1270">
        <v>0.02</v>
      </c>
      <c r="H31" s="222"/>
      <c r="I31" s="222"/>
      <c r="J31" s="222"/>
      <c r="K31" s="222"/>
      <c r="L31" s="222"/>
      <c r="M31" s="222"/>
      <c r="N31" s="222"/>
      <c r="O31" s="222"/>
      <c r="P31" s="222"/>
      <c r="Q31" s="222"/>
      <c r="R31" s="222"/>
      <c r="S31" s="222"/>
      <c r="T31" s="222"/>
    </row>
    <row r="32" spans="1:20" ht="30" customHeight="1">
      <c r="A32" s="1290"/>
      <c r="B32" s="1275"/>
      <c r="C32" s="1109"/>
      <c r="D32" s="1250"/>
      <c r="E32" s="214">
        <f>E31/12</f>
        <v>492.45166666666665</v>
      </c>
      <c r="F32" s="454" t="s">
        <v>314</v>
      </c>
      <c r="G32" s="1271"/>
      <c r="H32" s="222"/>
      <c r="I32" s="222"/>
      <c r="J32" s="222"/>
      <c r="K32" s="222"/>
      <c r="L32" s="222"/>
      <c r="M32" s="222"/>
      <c r="N32" s="222"/>
      <c r="O32" s="222"/>
      <c r="P32" s="222"/>
      <c r="Q32" s="222"/>
      <c r="R32" s="222"/>
      <c r="S32" s="222"/>
      <c r="T32" s="222"/>
    </row>
    <row r="33" spans="1:20" ht="45.75" thickBot="1">
      <c r="A33" s="1290"/>
      <c r="B33" s="1275"/>
      <c r="C33" s="1272" t="s">
        <v>341</v>
      </c>
      <c r="D33" s="1273"/>
      <c r="E33" s="215">
        <f>E26+E28+E30+E32</f>
        <v>721.94776666666667</v>
      </c>
      <c r="F33" s="461" t="s">
        <v>314</v>
      </c>
      <c r="G33" s="462" t="s">
        <v>342</v>
      </c>
      <c r="H33" s="222"/>
      <c r="I33" s="222"/>
      <c r="J33" s="222"/>
      <c r="K33" s="222"/>
      <c r="L33" s="222"/>
      <c r="M33" s="222"/>
      <c r="N33" s="222"/>
      <c r="O33" s="222"/>
      <c r="P33" s="222"/>
      <c r="Q33" s="222"/>
      <c r="R33" s="222"/>
      <c r="S33" s="222"/>
      <c r="T33" s="222"/>
    </row>
    <row r="34" spans="1:20" ht="41.25" customHeight="1" thickBot="1">
      <c r="A34" s="1333"/>
      <c r="B34" s="1298" t="s">
        <v>390</v>
      </c>
      <c r="C34" s="1299"/>
      <c r="D34" s="1300"/>
      <c r="E34" s="216">
        <f>(E11+E12)+(E22+E23)+E33</f>
        <v>7332.4958270833322</v>
      </c>
      <c r="F34" s="217" t="s">
        <v>314</v>
      </c>
      <c r="G34" s="218" t="s">
        <v>378</v>
      </c>
      <c r="H34" s="222"/>
      <c r="I34" s="222"/>
      <c r="J34" s="222"/>
      <c r="K34" s="222"/>
      <c r="L34" s="222"/>
      <c r="M34" s="222"/>
      <c r="N34" s="222"/>
      <c r="O34" s="222"/>
      <c r="P34" s="222"/>
      <c r="Q34" s="222"/>
      <c r="R34" s="222"/>
      <c r="S34" s="222"/>
      <c r="T34" s="222"/>
    </row>
    <row r="35" spans="1:20" ht="59.25" customHeight="1">
      <c r="A35" s="1295" t="s">
        <v>427</v>
      </c>
      <c r="B35" s="1275" t="s">
        <v>385</v>
      </c>
      <c r="C35" s="1332" t="s">
        <v>343</v>
      </c>
      <c r="D35" s="504" t="s">
        <v>397</v>
      </c>
      <c r="E35" s="505">
        <v>0.6</v>
      </c>
      <c r="F35" s="501" t="s">
        <v>345</v>
      </c>
      <c r="G35" s="1301" t="s">
        <v>405</v>
      </c>
      <c r="H35" s="222"/>
      <c r="I35" s="222"/>
      <c r="J35" s="222"/>
      <c r="K35" s="222"/>
      <c r="L35" s="222"/>
      <c r="M35" s="222"/>
      <c r="N35" s="222"/>
      <c r="O35" s="222"/>
      <c r="P35" s="222"/>
      <c r="Q35" s="222"/>
      <c r="R35" s="222"/>
      <c r="S35" s="222"/>
      <c r="T35" s="222"/>
    </row>
    <row r="36" spans="1:20" ht="120.75" customHeight="1">
      <c r="A36" s="1290"/>
      <c r="B36" s="1275"/>
      <c r="C36" s="1246"/>
      <c r="D36" s="507" t="s">
        <v>404</v>
      </c>
      <c r="E36" s="505">
        <v>0.4</v>
      </c>
      <c r="F36" s="499" t="s">
        <v>345</v>
      </c>
      <c r="G36" s="1278"/>
      <c r="H36" s="222"/>
      <c r="I36" s="222"/>
      <c r="J36" s="222"/>
      <c r="K36" s="222"/>
      <c r="L36" s="222"/>
      <c r="M36" s="222"/>
      <c r="N36" s="222"/>
      <c r="O36" s="222"/>
      <c r="P36" s="222"/>
      <c r="Q36" s="222"/>
      <c r="R36" s="222"/>
      <c r="S36" s="222"/>
      <c r="T36" s="222"/>
    </row>
    <row r="37" spans="1:20" ht="105">
      <c r="A37" s="1290"/>
      <c r="B37" s="1275"/>
      <c r="C37" s="507" t="s">
        <v>348</v>
      </c>
      <c r="D37" s="499" t="s">
        <v>349</v>
      </c>
      <c r="E37" s="214">
        <f>[0]!DIESEL</f>
        <v>7.01</v>
      </c>
      <c r="F37" s="499" t="s">
        <v>350</v>
      </c>
      <c r="G37" s="220" t="s">
        <v>398</v>
      </c>
      <c r="H37" s="222"/>
      <c r="I37" s="222"/>
      <c r="J37" s="222"/>
      <c r="K37" s="222"/>
      <c r="L37" s="222"/>
      <c r="M37" s="222"/>
      <c r="N37" s="222"/>
      <c r="O37" s="222"/>
      <c r="P37" s="222"/>
      <c r="Q37" s="222"/>
      <c r="R37" s="222"/>
      <c r="S37" s="222"/>
      <c r="T37" s="222"/>
    </row>
    <row r="38" spans="1:20" ht="45" customHeight="1">
      <c r="A38" s="1290"/>
      <c r="B38" s="1275"/>
      <c r="C38" s="1249" t="s">
        <v>351</v>
      </c>
      <c r="D38" s="507" t="s">
        <v>397</v>
      </c>
      <c r="E38" s="600">
        <f>E35*E37</f>
        <v>4.2059999999999995</v>
      </c>
      <c r="F38" s="499" t="s">
        <v>352</v>
      </c>
      <c r="G38" s="1277" t="s">
        <v>353</v>
      </c>
      <c r="H38" s="222"/>
      <c r="I38" s="222"/>
      <c r="J38" s="222"/>
      <c r="K38" s="222"/>
      <c r="L38" s="222"/>
      <c r="M38" s="222"/>
      <c r="N38" s="222"/>
      <c r="O38" s="222"/>
      <c r="P38" s="222"/>
      <c r="Q38" s="222"/>
      <c r="R38" s="222"/>
      <c r="S38" s="222"/>
      <c r="T38" s="222"/>
    </row>
    <row r="39" spans="1:20" ht="105">
      <c r="A39" s="1290"/>
      <c r="B39" s="1275"/>
      <c r="C39" s="1250"/>
      <c r="D39" s="507" t="s">
        <v>404</v>
      </c>
      <c r="E39" s="600">
        <f>E36*E38</f>
        <v>1.6823999999999999</v>
      </c>
      <c r="F39" s="499" t="s">
        <v>352</v>
      </c>
      <c r="G39" s="1278"/>
      <c r="H39" s="222"/>
      <c r="I39" s="222"/>
      <c r="J39" s="222"/>
      <c r="K39" s="222"/>
      <c r="L39" s="222"/>
      <c r="M39" s="222"/>
      <c r="N39" s="222"/>
      <c r="O39" s="222"/>
      <c r="P39" s="222"/>
      <c r="Q39" s="222"/>
      <c r="R39" s="222"/>
      <c r="S39" s="222"/>
      <c r="T39" s="222"/>
    </row>
    <row r="40" spans="1:20" ht="75" customHeight="1">
      <c r="A40" s="1290"/>
      <c r="B40" s="1275"/>
      <c r="C40" s="1249" t="s">
        <v>354</v>
      </c>
      <c r="D40" s="507" t="s">
        <v>397</v>
      </c>
      <c r="E40" s="601">
        <f>TRUNC(SUM('COLETA RURAL'!J6:J15)*semanas_mês,2)</f>
        <v>164.16</v>
      </c>
      <c r="F40" s="499" t="s">
        <v>9</v>
      </c>
      <c r="G40" s="602" t="s">
        <v>399</v>
      </c>
      <c r="H40" s="222"/>
      <c r="I40" s="603"/>
      <c r="J40" s="222"/>
      <c r="K40" s="222"/>
      <c r="L40" s="222"/>
      <c r="M40" s="222"/>
      <c r="N40" s="222"/>
      <c r="O40" s="222"/>
      <c r="P40" s="222"/>
      <c r="Q40" s="222"/>
      <c r="R40" s="222"/>
      <c r="S40" s="222"/>
      <c r="T40" s="222"/>
    </row>
    <row r="41" spans="1:20" ht="90">
      <c r="A41" s="1290"/>
      <c r="B41" s="1275"/>
      <c r="C41" s="1250"/>
      <c r="D41" s="507" t="s">
        <v>526</v>
      </c>
      <c r="E41" s="601">
        <f>TRUNC(SUM('COLETA RURAL'!I6:I15)*semanas_mês,2)</f>
        <v>2554.9699999999998</v>
      </c>
      <c r="F41" s="499" t="s">
        <v>9</v>
      </c>
      <c r="G41" s="604" t="s">
        <v>400</v>
      </c>
      <c r="H41" s="222"/>
      <c r="I41" s="222"/>
      <c r="J41" s="222"/>
      <c r="K41" s="222"/>
      <c r="L41" s="222"/>
      <c r="M41" s="222"/>
      <c r="N41" s="222"/>
      <c r="O41" s="222"/>
      <c r="P41" s="222"/>
      <c r="Q41" s="222"/>
      <c r="R41" s="222"/>
      <c r="S41" s="222"/>
      <c r="T41" s="222"/>
    </row>
    <row r="42" spans="1:20" ht="45" customHeight="1">
      <c r="A42" s="1290"/>
      <c r="B42" s="1275"/>
      <c r="C42" s="1249" t="s">
        <v>355</v>
      </c>
      <c r="D42" s="507" t="s">
        <v>397</v>
      </c>
      <c r="E42" s="214">
        <f>E38*E40</f>
        <v>690.45695999999987</v>
      </c>
      <c r="F42" s="499" t="s">
        <v>352</v>
      </c>
      <c r="G42" s="1235" t="s">
        <v>356</v>
      </c>
      <c r="H42" s="222"/>
      <c r="I42" s="222"/>
      <c r="J42" s="222"/>
      <c r="K42" s="222"/>
      <c r="L42" s="222"/>
      <c r="M42" s="222"/>
      <c r="N42" s="222"/>
      <c r="O42" s="222"/>
      <c r="P42" s="222"/>
      <c r="Q42" s="222"/>
      <c r="R42" s="222"/>
      <c r="S42" s="222"/>
      <c r="T42" s="222"/>
    </row>
    <row r="43" spans="1:20" ht="105">
      <c r="A43" s="1290"/>
      <c r="B43" s="1288"/>
      <c r="C43" s="1250"/>
      <c r="D43" s="507" t="s">
        <v>404</v>
      </c>
      <c r="E43" s="214">
        <f>E39*E41</f>
        <v>4298.4815279999993</v>
      </c>
      <c r="F43" s="499" t="s">
        <v>352</v>
      </c>
      <c r="G43" s="1236"/>
      <c r="H43" s="222"/>
      <c r="I43" s="222"/>
      <c r="J43" s="222"/>
      <c r="K43" s="222"/>
      <c r="L43" s="222"/>
      <c r="M43" s="222"/>
      <c r="N43" s="222"/>
      <c r="O43" s="222"/>
      <c r="P43" s="222"/>
      <c r="Q43" s="222"/>
      <c r="R43" s="222"/>
      <c r="S43" s="222"/>
      <c r="T43" s="222"/>
    </row>
    <row r="44" spans="1:20" ht="28.5" customHeight="1">
      <c r="A44" s="1290"/>
      <c r="B44" s="457" t="s">
        <v>384</v>
      </c>
      <c r="C44" s="454" t="s">
        <v>357</v>
      </c>
      <c r="D44" s="454" t="s">
        <v>317</v>
      </c>
      <c r="E44" s="214">
        <f>SUM(E42:E43)*0.1</f>
        <v>498.89384879999989</v>
      </c>
      <c r="F44" s="447" t="s">
        <v>352</v>
      </c>
      <c r="G44" s="460" t="s">
        <v>358</v>
      </c>
      <c r="H44" s="222"/>
      <c r="I44" s="222"/>
      <c r="J44" s="222"/>
      <c r="K44" s="222"/>
      <c r="L44" s="222"/>
      <c r="M44" s="222"/>
      <c r="N44" s="222"/>
      <c r="O44" s="222"/>
      <c r="P44" s="222"/>
      <c r="Q44" s="222"/>
      <c r="R44" s="222"/>
      <c r="S44" s="222"/>
      <c r="T44" s="222"/>
    </row>
    <row r="45" spans="1:20" ht="60" customHeight="1">
      <c r="A45" s="1290"/>
      <c r="B45" s="1274" t="s">
        <v>383</v>
      </c>
      <c r="C45" s="499" t="s">
        <v>359</v>
      </c>
      <c r="D45" s="507" t="s">
        <v>317</v>
      </c>
      <c r="E45" s="212">
        <f>C171</f>
        <v>2374.39</v>
      </c>
      <c r="F45" s="499" t="s">
        <v>305</v>
      </c>
      <c r="G45" s="1277" t="s">
        <v>603</v>
      </c>
      <c r="H45" s="222"/>
      <c r="I45" s="222"/>
      <c r="J45" s="222"/>
      <c r="K45" s="222"/>
      <c r="L45" s="222"/>
      <c r="M45" s="222"/>
      <c r="N45" s="222"/>
      <c r="O45" s="222"/>
      <c r="P45" s="222"/>
      <c r="Q45" s="222"/>
      <c r="R45" s="222"/>
      <c r="S45" s="222"/>
      <c r="T45" s="222"/>
    </row>
    <row r="46" spans="1:20" ht="30">
      <c r="A46" s="1290"/>
      <c r="B46" s="1275"/>
      <c r="C46" s="499" t="s">
        <v>360</v>
      </c>
      <c r="D46" s="507" t="s">
        <v>317</v>
      </c>
      <c r="E46" s="214">
        <v>0</v>
      </c>
      <c r="F46" s="499" t="s">
        <v>305</v>
      </c>
      <c r="G46" s="1301"/>
      <c r="H46" s="222"/>
      <c r="I46" s="222"/>
      <c r="J46" s="222"/>
      <c r="K46" s="222"/>
      <c r="L46" s="222"/>
      <c r="M46" s="222"/>
      <c r="N46" s="222"/>
      <c r="O46" s="222"/>
      <c r="P46" s="222"/>
      <c r="Q46" s="222"/>
      <c r="R46" s="222"/>
      <c r="S46" s="222"/>
      <c r="T46" s="222"/>
    </row>
    <row r="47" spans="1:20" ht="30">
      <c r="A47" s="1290"/>
      <c r="B47" s="1275"/>
      <c r="C47" s="507" t="s">
        <v>361</v>
      </c>
      <c r="D47" s="507" t="s">
        <v>317</v>
      </c>
      <c r="E47" s="214">
        <v>0</v>
      </c>
      <c r="F47" s="499" t="s">
        <v>305</v>
      </c>
      <c r="G47" s="1278"/>
      <c r="H47" s="222"/>
      <c r="I47" s="222"/>
      <c r="J47" s="222"/>
      <c r="K47" s="222"/>
      <c r="L47" s="222"/>
      <c r="M47" s="222"/>
      <c r="N47" s="222"/>
      <c r="O47" s="222"/>
      <c r="P47" s="222"/>
      <c r="Q47" s="222"/>
      <c r="R47" s="222"/>
      <c r="S47" s="222"/>
      <c r="T47" s="222"/>
    </row>
    <row r="48" spans="1:20" ht="45">
      <c r="A48" s="1290"/>
      <c r="B48" s="1275"/>
      <c r="C48" s="507" t="s">
        <v>363</v>
      </c>
      <c r="D48" s="507" t="s">
        <v>317</v>
      </c>
      <c r="E48" s="221">
        <v>10</v>
      </c>
      <c r="F48" s="368" t="s">
        <v>362</v>
      </c>
      <c r="G48" s="510" t="s">
        <v>364</v>
      </c>
      <c r="H48" s="222"/>
      <c r="I48" s="222"/>
      <c r="J48" s="222"/>
      <c r="K48" s="222"/>
      <c r="L48" s="222"/>
      <c r="M48" s="222"/>
      <c r="N48" s="222"/>
      <c r="O48" s="222"/>
      <c r="P48" s="222"/>
      <c r="Q48" s="222"/>
      <c r="R48" s="222"/>
      <c r="S48" s="222"/>
      <c r="T48" s="222"/>
    </row>
    <row r="49" spans="1:20" ht="75">
      <c r="A49" s="1290"/>
      <c r="B49" s="1275"/>
      <c r="C49" s="507" t="s">
        <v>365</v>
      </c>
      <c r="D49" s="507" t="s">
        <v>317</v>
      </c>
      <c r="E49" s="214">
        <v>850</v>
      </c>
      <c r="F49" s="507" t="s">
        <v>305</v>
      </c>
      <c r="G49" s="510" t="s">
        <v>395</v>
      </c>
      <c r="H49" s="222"/>
      <c r="I49" s="222"/>
      <c r="J49" s="222"/>
      <c r="K49" s="222"/>
      <c r="L49" s="222"/>
      <c r="M49" s="222"/>
      <c r="N49" s="222"/>
      <c r="O49" s="222"/>
      <c r="P49" s="222"/>
      <c r="Q49" s="222"/>
      <c r="R49" s="222"/>
      <c r="S49" s="222"/>
      <c r="T49" s="222"/>
    </row>
    <row r="50" spans="1:20" ht="58.5" customHeight="1">
      <c r="A50" s="1290"/>
      <c r="B50" s="1275"/>
      <c r="C50" s="507" t="s">
        <v>366</v>
      </c>
      <c r="D50" s="507" t="s">
        <v>317</v>
      </c>
      <c r="E50" s="221">
        <v>30000</v>
      </c>
      <c r="F50" s="507" t="s">
        <v>164</v>
      </c>
      <c r="G50" s="1302" t="s">
        <v>394</v>
      </c>
      <c r="H50" s="222"/>
      <c r="I50" s="222"/>
      <c r="J50" s="222"/>
      <c r="K50" s="222"/>
      <c r="L50" s="222"/>
      <c r="M50" s="222"/>
      <c r="N50" s="222"/>
      <c r="O50" s="222"/>
      <c r="P50" s="222"/>
      <c r="Q50" s="222"/>
      <c r="R50" s="222"/>
      <c r="S50" s="222"/>
      <c r="T50" s="222"/>
    </row>
    <row r="51" spans="1:20" ht="57.75" customHeight="1">
      <c r="A51" s="1290"/>
      <c r="B51" s="1275"/>
      <c r="C51" s="507" t="s">
        <v>367</v>
      </c>
      <c r="D51" s="507" t="s">
        <v>317</v>
      </c>
      <c r="E51" s="221">
        <v>20000</v>
      </c>
      <c r="F51" s="507" t="s">
        <v>164</v>
      </c>
      <c r="G51" s="1303"/>
      <c r="H51" s="222"/>
      <c r="I51" s="222"/>
      <c r="J51" s="222"/>
      <c r="K51" s="222"/>
      <c r="L51" s="222"/>
      <c r="M51" s="222"/>
      <c r="N51" s="222"/>
      <c r="O51" s="222"/>
      <c r="P51" s="222"/>
      <c r="Q51" s="222"/>
      <c r="R51" s="222"/>
      <c r="S51" s="222"/>
      <c r="T51" s="222"/>
    </row>
    <row r="52" spans="1:20" ht="60">
      <c r="A52" s="1290"/>
      <c r="B52" s="1275"/>
      <c r="C52" s="507" t="s">
        <v>368</v>
      </c>
      <c r="D52" s="507" t="s">
        <v>317</v>
      </c>
      <c r="E52" s="214">
        <f>((1.2*(E45+E46+E47)*E48)+(E49*E48))/(E50+E51)</f>
        <v>0.73985359999999989</v>
      </c>
      <c r="F52" s="507" t="s">
        <v>369</v>
      </c>
      <c r="G52" s="510" t="s">
        <v>370</v>
      </c>
      <c r="H52" s="222"/>
      <c r="I52" s="222"/>
      <c r="J52" s="222"/>
      <c r="K52" s="222"/>
      <c r="L52" s="222"/>
      <c r="M52" s="222"/>
      <c r="N52" s="222"/>
      <c r="O52" s="222"/>
      <c r="P52" s="222"/>
      <c r="Q52" s="222"/>
      <c r="R52" s="222"/>
      <c r="S52" s="222"/>
      <c r="T52" s="222"/>
    </row>
    <row r="53" spans="1:20" ht="45">
      <c r="A53" s="1290"/>
      <c r="B53" s="1275"/>
      <c r="C53" s="507" t="s">
        <v>371</v>
      </c>
      <c r="D53" s="507" t="s">
        <v>317</v>
      </c>
      <c r="E53" s="284">
        <f>SUM(E40,E41)</f>
        <v>2719.1299999999997</v>
      </c>
      <c r="F53" s="507" t="s">
        <v>372</v>
      </c>
      <c r="G53" s="508" t="s">
        <v>652</v>
      </c>
      <c r="H53" s="222"/>
      <c r="I53" s="222"/>
      <c r="J53" s="222"/>
      <c r="K53" s="222"/>
      <c r="L53" s="222"/>
      <c r="M53" s="222"/>
      <c r="N53" s="222"/>
      <c r="O53" s="222"/>
      <c r="P53" s="222"/>
      <c r="Q53" s="222"/>
      <c r="R53" s="222"/>
      <c r="S53" s="222"/>
      <c r="T53" s="222"/>
    </row>
    <row r="54" spans="1:20" ht="30">
      <c r="A54" s="1290"/>
      <c r="B54" s="1288"/>
      <c r="C54" s="507" t="s">
        <v>373</v>
      </c>
      <c r="D54" s="507" t="s">
        <v>317</v>
      </c>
      <c r="E54" s="214">
        <f>TRUNC(E53*E52,2)</f>
        <v>2011.75</v>
      </c>
      <c r="F54" s="507" t="s">
        <v>314</v>
      </c>
      <c r="G54" s="508" t="s">
        <v>374</v>
      </c>
      <c r="H54" s="222"/>
      <c r="I54" s="222"/>
      <c r="J54" s="222"/>
      <c r="K54" s="222"/>
      <c r="L54" s="222"/>
      <c r="M54" s="222"/>
      <c r="N54" s="222"/>
      <c r="O54" s="222"/>
      <c r="P54" s="222"/>
      <c r="Q54" s="222"/>
      <c r="R54" s="222"/>
      <c r="S54" s="222"/>
      <c r="T54" s="222"/>
    </row>
    <row r="55" spans="1:20" ht="105">
      <c r="A55" s="1290"/>
      <c r="B55" s="1274" t="s">
        <v>389</v>
      </c>
      <c r="C55" s="507" t="s">
        <v>375</v>
      </c>
      <c r="D55" s="507" t="s">
        <v>317</v>
      </c>
      <c r="E55" s="212">
        <f>(E5+E6)-(E45*6)</f>
        <v>355092.41</v>
      </c>
      <c r="F55" s="507" t="s">
        <v>305</v>
      </c>
      <c r="G55" s="510" t="s">
        <v>393</v>
      </c>
      <c r="H55" s="222"/>
      <c r="I55" s="222"/>
      <c r="J55" s="222"/>
      <c r="K55" s="222"/>
      <c r="L55" s="222"/>
      <c r="M55" s="222"/>
      <c r="N55" s="222"/>
      <c r="O55" s="222"/>
      <c r="P55" s="222"/>
      <c r="Q55" s="222"/>
      <c r="R55" s="222"/>
      <c r="S55" s="222"/>
      <c r="T55" s="222"/>
    </row>
    <row r="56" spans="1:20" ht="60">
      <c r="A56" s="1290"/>
      <c r="B56" s="1275"/>
      <c r="C56" s="507" t="s">
        <v>376</v>
      </c>
      <c r="D56" s="507" t="s">
        <v>317</v>
      </c>
      <c r="E56" s="210">
        <v>0.9</v>
      </c>
      <c r="F56" s="507" t="s">
        <v>16</v>
      </c>
      <c r="G56" s="510" t="s">
        <v>392</v>
      </c>
      <c r="H56" s="222"/>
      <c r="I56" s="222"/>
      <c r="J56" s="222"/>
      <c r="K56" s="222"/>
      <c r="L56" s="222"/>
      <c r="M56" s="222"/>
      <c r="N56" s="222"/>
      <c r="O56" s="222"/>
      <c r="P56" s="222"/>
      <c r="Q56" s="222"/>
      <c r="R56" s="222"/>
      <c r="S56" s="222"/>
      <c r="T56" s="222"/>
    </row>
    <row r="57" spans="1:20" ht="180.75" thickBot="1">
      <c r="A57" s="1290"/>
      <c r="B57" s="1297"/>
      <c r="C57" s="884" t="s">
        <v>377</v>
      </c>
      <c r="D57" s="884" t="s">
        <v>317</v>
      </c>
      <c r="E57" s="885">
        <f>TRUNC((E55*E56)/E9,2)</f>
        <v>2663.19</v>
      </c>
      <c r="F57" s="500" t="s">
        <v>314</v>
      </c>
      <c r="G57" s="886" t="s">
        <v>391</v>
      </c>
      <c r="H57" s="222"/>
      <c r="I57" s="222"/>
      <c r="J57" s="222"/>
      <c r="K57" s="222"/>
      <c r="L57" s="222"/>
      <c r="M57" s="222"/>
      <c r="N57" s="222"/>
      <c r="O57" s="222"/>
      <c r="P57" s="222"/>
      <c r="Q57" s="222"/>
      <c r="R57" s="222"/>
      <c r="S57" s="222"/>
      <c r="T57" s="222"/>
    </row>
    <row r="58" spans="1:20" ht="16.5" thickBot="1">
      <c r="A58" s="1291"/>
      <c r="B58" s="1292" t="s">
        <v>379</v>
      </c>
      <c r="C58" s="1293"/>
      <c r="D58" s="1294"/>
      <c r="E58" s="224">
        <f>(E42+E43)+E44+E54+E57</f>
        <v>10162.772336799999</v>
      </c>
      <c r="F58" s="225" t="s">
        <v>314</v>
      </c>
      <c r="G58" s="226" t="s">
        <v>380</v>
      </c>
      <c r="H58" s="222"/>
      <c r="I58" s="222"/>
      <c r="J58" s="222"/>
      <c r="K58" s="222"/>
      <c r="L58" s="222"/>
      <c r="M58" s="222"/>
      <c r="N58" s="222"/>
      <c r="O58" s="222"/>
      <c r="P58" s="222"/>
      <c r="Q58" s="222"/>
      <c r="R58" s="222"/>
      <c r="S58" s="222"/>
      <c r="T58" s="222"/>
    </row>
    <row r="59" spans="1:20" ht="37.5">
      <c r="A59" s="1328" t="s">
        <v>421</v>
      </c>
      <c r="B59" s="1329"/>
      <c r="C59" s="1329"/>
      <c r="D59" s="1329"/>
      <c r="E59" s="227">
        <f>(E34+E58)*(1+10%)</f>
        <v>19244.794980271665</v>
      </c>
      <c r="F59" s="228" t="s">
        <v>314</v>
      </c>
      <c r="G59" s="234" t="s">
        <v>428</v>
      </c>
      <c r="H59" s="222"/>
      <c r="I59" s="222"/>
      <c r="J59" s="222"/>
      <c r="K59" s="222"/>
      <c r="L59" s="222"/>
      <c r="M59" s="222"/>
      <c r="N59" s="222"/>
      <c r="O59" s="222"/>
      <c r="P59" s="222"/>
      <c r="Q59" s="222"/>
      <c r="R59" s="222"/>
      <c r="S59" s="222"/>
      <c r="T59" s="222"/>
    </row>
    <row r="60" spans="1:20" ht="19.5" thickBot="1">
      <c r="A60" s="1330"/>
      <c r="B60" s="1331"/>
      <c r="C60" s="1331"/>
      <c r="D60" s="1331"/>
      <c r="E60" s="229">
        <f>(E35+E59)/E53</f>
        <v>7.0777767080910676</v>
      </c>
      <c r="F60" s="230" t="s">
        <v>314</v>
      </c>
      <c r="G60" s="231" t="s">
        <v>403</v>
      </c>
      <c r="H60" s="222"/>
      <c r="I60" s="222"/>
      <c r="J60" s="222"/>
      <c r="K60" s="222"/>
      <c r="L60" s="222"/>
      <c r="M60" s="222"/>
      <c r="N60" s="222"/>
      <c r="O60" s="222"/>
      <c r="P60" s="222"/>
      <c r="Q60" s="222"/>
      <c r="R60" s="222"/>
      <c r="S60" s="222"/>
      <c r="T60" s="222"/>
    </row>
    <row r="61" spans="1:20" ht="18.75">
      <c r="A61" s="657"/>
      <c r="B61" s="657"/>
      <c r="C61" s="657"/>
      <c r="D61" s="657"/>
      <c r="E61" s="658"/>
      <c r="F61" s="657"/>
      <c r="G61" s="657"/>
      <c r="H61" s="222"/>
      <c r="I61" s="271"/>
      <c r="J61" s="271"/>
      <c r="K61" s="271"/>
      <c r="L61" s="271"/>
      <c r="M61" s="271"/>
      <c r="N61" s="271"/>
      <c r="O61" s="271"/>
      <c r="P61" s="271"/>
      <c r="Q61" s="271"/>
      <c r="R61" s="271"/>
      <c r="S61" s="271"/>
      <c r="T61" s="271"/>
    </row>
    <row r="62" spans="1:20" ht="15.75" thickBot="1">
      <c r="A62" s="659"/>
      <c r="B62" s="660"/>
      <c r="C62" s="660"/>
      <c r="D62" s="660"/>
      <c r="E62" s="233"/>
      <c r="F62" s="660"/>
      <c r="G62" s="660"/>
      <c r="H62" s="222"/>
      <c r="I62" s="271"/>
      <c r="J62" s="271"/>
      <c r="K62" s="271"/>
      <c r="L62" s="271"/>
      <c r="M62" s="271"/>
      <c r="N62" s="271"/>
      <c r="O62" s="271"/>
      <c r="P62" s="271"/>
      <c r="Q62" s="271"/>
      <c r="R62" s="271"/>
      <c r="S62" s="271"/>
      <c r="T62" s="271"/>
    </row>
    <row r="63" spans="1:20" ht="15.75" thickBot="1">
      <c r="A63" s="1254" t="s">
        <v>658</v>
      </c>
      <c r="B63" s="1255"/>
      <c r="C63" s="1255"/>
      <c r="D63" s="1255"/>
      <c r="E63" s="1255"/>
      <c r="F63" s="1255"/>
      <c r="G63" s="1256"/>
      <c r="H63" s="222"/>
      <c r="I63" s="271"/>
      <c r="J63" s="271"/>
      <c r="K63" s="271"/>
      <c r="L63" s="271"/>
      <c r="M63" s="271"/>
      <c r="N63" s="271"/>
      <c r="O63" s="271"/>
      <c r="P63" s="271"/>
      <c r="Q63" s="271"/>
      <c r="R63" s="271"/>
      <c r="S63" s="271"/>
      <c r="T63" s="271"/>
    </row>
    <row r="64" spans="1:20" ht="15">
      <c r="A64" s="620"/>
      <c r="B64" s="621"/>
      <c r="C64" s="661"/>
      <c r="D64" s="661"/>
      <c r="E64" s="661"/>
      <c r="F64" s="621"/>
      <c r="G64" s="623"/>
      <c r="H64" s="222"/>
      <c r="I64" s="271"/>
      <c r="J64" s="271"/>
      <c r="K64" s="271"/>
      <c r="L64" s="271"/>
      <c r="M64" s="271"/>
      <c r="N64" s="271"/>
      <c r="O64" s="271"/>
      <c r="P64" s="271"/>
      <c r="Q64" s="271"/>
      <c r="R64" s="271"/>
      <c r="S64" s="271"/>
      <c r="T64" s="271"/>
    </row>
    <row r="65" spans="1:20" ht="15">
      <c r="A65" s="624"/>
      <c r="B65" s="612"/>
      <c r="C65" s="612"/>
      <c r="D65" s="612"/>
      <c r="E65" s="613"/>
      <c r="F65" s="612"/>
      <c r="G65" s="625"/>
      <c r="H65" s="222"/>
      <c r="I65" s="271"/>
      <c r="J65" s="271"/>
      <c r="K65" s="271"/>
      <c r="L65" s="271"/>
      <c r="M65" s="271"/>
      <c r="N65" s="271"/>
      <c r="O65" s="271"/>
      <c r="P65" s="271"/>
      <c r="Q65" s="271"/>
      <c r="R65" s="271"/>
      <c r="S65" s="271"/>
      <c r="T65" s="271"/>
    </row>
    <row r="66" spans="1:20" ht="15">
      <c r="A66" s="624"/>
      <c r="B66" s="612" t="s">
        <v>659</v>
      </c>
      <c r="C66" s="1253" t="s">
        <v>284</v>
      </c>
      <c r="D66" s="1253"/>
      <c r="E66" s="1253"/>
      <c r="F66" s="612"/>
      <c r="G66" s="625"/>
      <c r="H66" s="222"/>
      <c r="I66" s="271"/>
      <c r="J66" s="271"/>
      <c r="K66" s="271"/>
      <c r="L66" s="271"/>
      <c r="M66" s="271"/>
      <c r="N66" s="271"/>
      <c r="O66" s="271"/>
      <c r="P66" s="271"/>
      <c r="Q66" s="271"/>
      <c r="R66" s="271"/>
      <c r="S66" s="271"/>
      <c r="T66" s="271"/>
    </row>
    <row r="67" spans="1:20" ht="15">
      <c r="A67" s="624"/>
      <c r="B67" s="612"/>
      <c r="C67" s="612"/>
      <c r="D67" s="612"/>
      <c r="E67" s="613"/>
      <c r="F67" s="612"/>
      <c r="G67" s="625"/>
      <c r="H67" s="222"/>
      <c r="I67" s="271"/>
      <c r="J67" s="271"/>
      <c r="K67" s="271"/>
      <c r="L67" s="271"/>
      <c r="M67" s="271"/>
      <c r="N67" s="271"/>
      <c r="O67" s="271"/>
      <c r="P67" s="271"/>
      <c r="Q67" s="271"/>
      <c r="R67" s="271"/>
      <c r="S67" s="271"/>
      <c r="T67" s="271"/>
    </row>
    <row r="68" spans="1:20" ht="15">
      <c r="A68" s="624"/>
      <c r="B68" s="612"/>
      <c r="C68" s="612"/>
      <c r="D68" s="612"/>
      <c r="E68" s="613"/>
      <c r="F68" s="612"/>
      <c r="G68" s="625"/>
      <c r="H68" s="222"/>
      <c r="I68" s="271"/>
      <c r="J68" s="271"/>
      <c r="K68" s="271"/>
      <c r="L68" s="271"/>
      <c r="M68" s="271"/>
      <c r="N68" s="271"/>
      <c r="O68" s="271"/>
      <c r="P68" s="271"/>
      <c r="Q68" s="271"/>
      <c r="R68" s="271"/>
      <c r="S68" s="271"/>
      <c r="T68" s="271"/>
    </row>
    <row r="69" spans="1:20" ht="15">
      <c r="A69" s="624"/>
      <c r="B69" s="612"/>
      <c r="C69" s="612"/>
      <c r="D69" s="612"/>
      <c r="E69" s="613"/>
      <c r="F69" s="612"/>
      <c r="G69" s="625"/>
      <c r="H69" s="222"/>
      <c r="I69" s="271"/>
      <c r="J69" s="271"/>
      <c r="K69" s="271"/>
      <c r="L69" s="271"/>
      <c r="M69" s="271"/>
      <c r="N69" s="271"/>
      <c r="O69" s="271"/>
      <c r="P69" s="271"/>
      <c r="Q69" s="271"/>
      <c r="R69" s="271"/>
      <c r="S69" s="271"/>
      <c r="T69" s="271"/>
    </row>
    <row r="70" spans="1:20" ht="15">
      <c r="A70" s="624"/>
      <c r="B70" s="612"/>
      <c r="C70" s="612"/>
      <c r="D70" s="612"/>
      <c r="E70" s="613"/>
      <c r="F70" s="612"/>
      <c r="G70" s="625"/>
      <c r="H70" s="222"/>
      <c r="I70" s="271"/>
      <c r="J70" s="271"/>
      <c r="K70" s="271"/>
      <c r="L70" s="271"/>
      <c r="M70" s="271"/>
      <c r="N70" s="271"/>
      <c r="O70" s="271"/>
      <c r="P70" s="271"/>
      <c r="Q70" s="271"/>
      <c r="R70" s="271"/>
      <c r="S70" s="271"/>
      <c r="T70" s="271"/>
    </row>
    <row r="71" spans="1:20" ht="15">
      <c r="A71" s="624"/>
      <c r="B71" s="612"/>
      <c r="C71" s="612"/>
      <c r="D71" s="612"/>
      <c r="E71" s="613"/>
      <c r="F71" s="612"/>
      <c r="G71" s="625"/>
      <c r="H71" s="662"/>
      <c r="I71" s="271"/>
      <c r="J71" s="271"/>
      <c r="K71" s="271"/>
      <c r="L71" s="271"/>
      <c r="M71" s="271"/>
      <c r="N71" s="271"/>
      <c r="O71" s="271"/>
      <c r="P71" s="271"/>
      <c r="Q71" s="271"/>
      <c r="R71" s="271"/>
      <c r="S71" s="271"/>
      <c r="T71" s="271"/>
    </row>
    <row r="72" spans="1:20" ht="15">
      <c r="A72" s="624"/>
      <c r="B72" s="612"/>
      <c r="C72" s="612"/>
      <c r="D72" s="612"/>
      <c r="E72" s="613"/>
      <c r="F72" s="612"/>
      <c r="G72" s="625"/>
      <c r="H72" s="222"/>
      <c r="I72" s="271"/>
      <c r="J72" s="271"/>
      <c r="K72" s="271"/>
      <c r="L72" s="271"/>
      <c r="M72" s="271"/>
      <c r="N72" s="271"/>
      <c r="O72" s="271"/>
      <c r="P72" s="271"/>
      <c r="Q72" s="271"/>
      <c r="R72" s="271"/>
      <c r="S72" s="271"/>
      <c r="T72" s="271"/>
    </row>
    <row r="73" spans="1:20" ht="15">
      <c r="A73" s="624"/>
      <c r="B73" s="612"/>
      <c r="C73" s="612"/>
      <c r="D73" s="612"/>
      <c r="E73" s="613"/>
      <c r="F73" s="612"/>
      <c r="G73" s="625"/>
      <c r="H73" s="222"/>
      <c r="I73" s="271"/>
      <c r="J73" s="271"/>
      <c r="K73" s="271"/>
      <c r="L73" s="271"/>
      <c r="M73" s="271"/>
      <c r="N73" s="271"/>
      <c r="O73" s="271"/>
      <c r="P73" s="271"/>
      <c r="Q73" s="271"/>
      <c r="R73" s="271"/>
      <c r="S73" s="271"/>
      <c r="T73" s="271"/>
    </row>
    <row r="74" spans="1:20" ht="15">
      <c r="A74" s="624"/>
      <c r="B74" s="612"/>
      <c r="C74" s="612"/>
      <c r="D74" s="612"/>
      <c r="E74" s="613"/>
      <c r="F74" s="612"/>
      <c r="G74" s="625"/>
      <c r="H74" s="222"/>
      <c r="I74" s="271"/>
      <c r="J74" s="271"/>
      <c r="K74" s="271"/>
      <c r="L74" s="271"/>
      <c r="M74" s="271"/>
      <c r="N74" s="271"/>
      <c r="O74" s="271"/>
      <c r="P74" s="271"/>
      <c r="Q74" s="271"/>
      <c r="R74" s="271"/>
      <c r="S74" s="271"/>
      <c r="T74" s="271"/>
    </row>
    <row r="75" spans="1:20" ht="15">
      <c r="A75" s="624"/>
      <c r="B75" s="612"/>
      <c r="C75" s="612"/>
      <c r="D75" s="612"/>
      <c r="E75" s="613"/>
      <c r="F75" s="612"/>
      <c r="G75" s="625"/>
      <c r="H75" s="222"/>
      <c r="I75" s="271"/>
      <c r="J75" s="271"/>
      <c r="K75" s="271"/>
      <c r="L75" s="271"/>
      <c r="M75" s="271"/>
      <c r="N75" s="271"/>
      <c r="O75" s="271"/>
      <c r="P75" s="271"/>
      <c r="Q75" s="271"/>
      <c r="R75" s="271"/>
      <c r="S75" s="271"/>
      <c r="T75" s="271"/>
    </row>
    <row r="76" spans="1:20" ht="15">
      <c r="A76" s="624"/>
      <c r="B76" s="612"/>
      <c r="C76" s="612"/>
      <c r="D76" s="612"/>
      <c r="E76" s="613"/>
      <c r="F76" s="612"/>
      <c r="G76" s="625"/>
      <c r="H76" s="222"/>
      <c r="I76" s="271"/>
      <c r="J76" s="271"/>
      <c r="K76" s="271"/>
      <c r="L76" s="271"/>
      <c r="M76" s="271"/>
      <c r="N76" s="271"/>
      <c r="O76" s="271"/>
      <c r="P76" s="271"/>
      <c r="Q76" s="271"/>
      <c r="R76" s="271"/>
      <c r="S76" s="271"/>
      <c r="T76" s="271"/>
    </row>
    <row r="77" spans="1:20" ht="15">
      <c r="A77" s="624"/>
      <c r="B77" s="612"/>
      <c r="C77" s="612"/>
      <c r="D77" s="612"/>
      <c r="E77" s="613"/>
      <c r="F77" s="612"/>
      <c r="G77" s="625"/>
      <c r="H77" s="222"/>
      <c r="I77" s="271"/>
      <c r="J77" s="271"/>
      <c r="K77" s="271"/>
      <c r="L77" s="271"/>
      <c r="M77" s="271"/>
      <c r="N77" s="271"/>
      <c r="O77" s="271"/>
      <c r="P77" s="271"/>
      <c r="Q77" s="271"/>
      <c r="R77" s="271"/>
      <c r="S77" s="271"/>
      <c r="T77" s="271"/>
    </row>
    <row r="78" spans="1:20" ht="15">
      <c r="A78" s="624"/>
      <c r="B78" s="612"/>
      <c r="C78" s="612"/>
      <c r="D78" s="612"/>
      <c r="E78" s="613"/>
      <c r="F78" s="612"/>
      <c r="G78" s="625"/>
      <c r="H78" s="222"/>
      <c r="I78" s="271"/>
      <c r="J78" s="271"/>
      <c r="K78" s="271"/>
      <c r="L78" s="271"/>
      <c r="M78" s="271"/>
      <c r="N78" s="271"/>
      <c r="O78" s="271"/>
      <c r="P78" s="271"/>
      <c r="Q78" s="271"/>
      <c r="R78" s="271"/>
      <c r="S78" s="271"/>
      <c r="T78" s="271"/>
    </row>
    <row r="79" spans="1:20" ht="15">
      <c r="A79" s="624"/>
      <c r="B79" s="612"/>
      <c r="C79" s="612"/>
      <c r="D79" s="612"/>
      <c r="E79" s="613"/>
      <c r="F79" s="612"/>
      <c r="G79" s="625"/>
      <c r="H79" s="222"/>
      <c r="I79" s="271"/>
      <c r="J79" s="271"/>
      <c r="K79" s="271"/>
      <c r="L79" s="271"/>
      <c r="M79" s="271"/>
      <c r="N79" s="271"/>
      <c r="O79" s="271"/>
      <c r="P79" s="271"/>
      <c r="Q79" s="271"/>
      <c r="R79" s="271"/>
      <c r="S79" s="271"/>
      <c r="T79" s="271"/>
    </row>
    <row r="80" spans="1:20" ht="15">
      <c r="A80" s="624"/>
      <c r="B80" s="612"/>
      <c r="C80" s="612"/>
      <c r="D80" s="612"/>
      <c r="E80" s="613"/>
      <c r="F80" s="612"/>
      <c r="G80" s="625"/>
      <c r="H80" s="222"/>
      <c r="I80" s="271"/>
      <c r="J80" s="271"/>
      <c r="K80" s="271"/>
      <c r="L80" s="271"/>
      <c r="M80" s="271"/>
      <c r="N80" s="271"/>
      <c r="O80" s="271"/>
      <c r="P80" s="271"/>
      <c r="Q80" s="271"/>
      <c r="R80" s="271"/>
      <c r="S80" s="271"/>
      <c r="T80" s="271"/>
    </row>
    <row r="81" spans="1:20" ht="15">
      <c r="A81" s="624"/>
      <c r="B81" s="612"/>
      <c r="C81" s="612"/>
      <c r="D81" s="612"/>
      <c r="E81" s="613"/>
      <c r="F81" s="612"/>
      <c r="G81" s="625"/>
      <c r="H81" s="222"/>
      <c r="I81" s="271"/>
      <c r="J81" s="271"/>
      <c r="K81" s="271"/>
      <c r="L81" s="271"/>
      <c r="M81" s="271"/>
      <c r="N81" s="271"/>
      <c r="O81" s="271"/>
      <c r="P81" s="271"/>
      <c r="Q81" s="271"/>
      <c r="R81" s="271"/>
      <c r="S81" s="271"/>
      <c r="T81" s="271"/>
    </row>
    <row r="82" spans="1:20" ht="15">
      <c r="A82" s="624"/>
      <c r="B82" s="612"/>
      <c r="C82" s="612"/>
      <c r="D82" s="612"/>
      <c r="E82" s="613"/>
      <c r="F82" s="612"/>
      <c r="G82" s="625"/>
      <c r="H82" s="222"/>
      <c r="I82" s="271"/>
      <c r="J82" s="271"/>
      <c r="K82" s="271"/>
      <c r="L82" s="271"/>
      <c r="M82" s="271"/>
      <c r="N82" s="271"/>
      <c r="O82" s="271"/>
      <c r="P82" s="271"/>
      <c r="Q82" s="271"/>
      <c r="R82" s="271"/>
      <c r="S82" s="271"/>
      <c r="T82" s="271"/>
    </row>
    <row r="83" spans="1:20" ht="15">
      <c r="A83" s="624"/>
      <c r="B83" s="612"/>
      <c r="C83" s="612"/>
      <c r="D83" s="612"/>
      <c r="E83" s="613"/>
      <c r="F83" s="612"/>
      <c r="G83" s="625"/>
      <c r="H83" s="222"/>
      <c r="I83" s="271"/>
      <c r="J83" s="271"/>
      <c r="K83" s="271"/>
      <c r="L83" s="271"/>
      <c r="M83" s="271"/>
      <c r="N83" s="271"/>
      <c r="O83" s="271"/>
      <c r="P83" s="271"/>
      <c r="Q83" s="271"/>
      <c r="R83" s="271"/>
      <c r="S83" s="271"/>
      <c r="T83" s="271"/>
    </row>
    <row r="84" spans="1:20" ht="13.5" customHeight="1">
      <c r="A84" s="663"/>
      <c r="B84" s="664"/>
      <c r="C84" s="664"/>
      <c r="D84" s="664"/>
      <c r="E84" s="664"/>
      <c r="F84" s="664"/>
      <c r="G84" s="665"/>
      <c r="H84" s="222"/>
      <c r="I84" s="271"/>
      <c r="J84" s="271"/>
      <c r="K84" s="271"/>
      <c r="L84" s="271"/>
      <c r="M84" s="271"/>
      <c r="N84" s="271"/>
      <c r="O84" s="271"/>
      <c r="P84" s="271"/>
      <c r="Q84" s="271"/>
      <c r="R84" s="271"/>
      <c r="S84" s="271"/>
      <c r="T84" s="271"/>
    </row>
    <row r="85" spans="1:20" ht="13.5" customHeight="1">
      <c r="A85" s="663"/>
      <c r="B85" s="664"/>
      <c r="C85" s="664"/>
      <c r="D85" s="664"/>
      <c r="E85" s="664"/>
      <c r="F85" s="664"/>
      <c r="G85" s="665"/>
      <c r="H85" s="222"/>
      <c r="I85" s="271"/>
      <c r="J85" s="271"/>
      <c r="K85" s="271"/>
      <c r="L85" s="271"/>
      <c r="M85" s="271"/>
      <c r="N85" s="271"/>
      <c r="O85" s="271"/>
      <c r="P85" s="271"/>
      <c r="Q85" s="271"/>
      <c r="R85" s="271"/>
      <c r="S85" s="271"/>
      <c r="T85" s="271"/>
    </row>
    <row r="86" spans="1:20" ht="13.5" customHeight="1">
      <c r="A86" s="663"/>
      <c r="B86" s="664"/>
      <c r="C86" s="664"/>
      <c r="D86" s="664"/>
      <c r="E86" s="664"/>
      <c r="F86" s="664"/>
      <c r="G86" s="665"/>
      <c r="H86" s="222"/>
      <c r="I86" s="271"/>
      <c r="J86" s="271"/>
      <c r="K86" s="271"/>
      <c r="L86" s="271"/>
      <c r="M86" s="271"/>
      <c r="N86" s="271"/>
      <c r="O86" s="271"/>
      <c r="P86" s="271"/>
      <c r="Q86" s="271"/>
      <c r="R86" s="271"/>
      <c r="S86" s="271"/>
      <c r="T86" s="271"/>
    </row>
    <row r="87" spans="1:20" ht="13.5" customHeight="1">
      <c r="A87" s="663"/>
      <c r="B87" s="664"/>
      <c r="C87" s="664"/>
      <c r="D87" s="664"/>
      <c r="E87" s="664"/>
      <c r="F87" s="664"/>
      <c r="G87" s="665"/>
      <c r="H87" s="222"/>
      <c r="I87" s="271"/>
      <c r="J87" s="271"/>
      <c r="K87" s="271"/>
      <c r="L87" s="271"/>
      <c r="M87" s="271"/>
      <c r="N87" s="271"/>
      <c r="O87" s="271"/>
      <c r="P87" s="271"/>
      <c r="Q87" s="271"/>
      <c r="R87" s="271"/>
      <c r="S87" s="271"/>
      <c r="T87" s="271"/>
    </row>
    <row r="88" spans="1:20" ht="13.5" customHeight="1" thickBot="1">
      <c r="A88" s="666"/>
      <c r="B88" s="667"/>
      <c r="C88" s="667"/>
      <c r="D88" s="667"/>
      <c r="E88" s="667"/>
      <c r="F88" s="667"/>
      <c r="G88" s="668"/>
      <c r="H88" s="222"/>
      <c r="I88" s="271"/>
      <c r="J88" s="271"/>
      <c r="K88" s="271"/>
      <c r="L88" s="271"/>
      <c r="M88" s="271"/>
      <c r="N88" s="271"/>
      <c r="O88" s="271"/>
      <c r="P88" s="271"/>
      <c r="Q88" s="271"/>
      <c r="R88" s="271"/>
      <c r="S88" s="271"/>
      <c r="T88" s="271"/>
    </row>
    <row r="89" spans="1:20" ht="15.75" thickBot="1">
      <c r="A89" s="1316" t="s">
        <v>661</v>
      </c>
      <c r="B89" s="1317"/>
      <c r="C89" s="1317"/>
      <c r="D89" s="1317"/>
      <c r="E89" s="1317"/>
      <c r="F89" s="1317"/>
      <c r="G89" s="1318"/>
      <c r="H89" s="222"/>
      <c r="I89" s="271"/>
      <c r="J89" s="271"/>
      <c r="K89" s="271"/>
      <c r="L89" s="271"/>
      <c r="M89" s="271"/>
      <c r="N89" s="271"/>
      <c r="O89" s="271"/>
      <c r="P89" s="271"/>
      <c r="Q89" s="271"/>
      <c r="R89" s="271"/>
      <c r="S89" s="271"/>
      <c r="T89" s="271"/>
    </row>
    <row r="90" spans="1:20" ht="14.25" customHeight="1">
      <c r="A90" s="1291" t="s">
        <v>293</v>
      </c>
      <c r="B90" s="1307"/>
      <c r="C90" s="1307"/>
      <c r="D90" s="1307"/>
      <c r="E90" s="1307"/>
      <c r="F90" s="1307"/>
      <c r="G90" s="1308"/>
      <c r="H90" s="308"/>
      <c r="I90" s="123"/>
      <c r="J90" s="123"/>
      <c r="K90" s="123"/>
      <c r="L90" s="123"/>
      <c r="M90" s="123"/>
      <c r="N90" s="123"/>
    </row>
    <row r="91" spans="1:20" ht="15">
      <c r="A91" s="1291"/>
      <c r="B91" s="1307"/>
      <c r="C91" s="1307"/>
      <c r="D91" s="1307"/>
      <c r="E91" s="1307"/>
      <c r="F91" s="1307"/>
      <c r="G91" s="1308"/>
      <c r="H91" s="308"/>
      <c r="I91" s="123"/>
      <c r="J91" s="123"/>
      <c r="K91" s="123"/>
      <c r="L91" s="123"/>
      <c r="M91" s="123"/>
      <c r="N91" s="123"/>
    </row>
    <row r="92" spans="1:20" ht="15">
      <c r="A92" s="1291"/>
      <c r="B92" s="1307"/>
      <c r="C92" s="1307"/>
      <c r="D92" s="1307"/>
      <c r="E92" s="1307"/>
      <c r="F92" s="1307"/>
      <c r="G92" s="1308"/>
      <c r="H92" s="308"/>
      <c r="I92" s="123"/>
      <c r="J92" s="123"/>
      <c r="K92" s="123"/>
      <c r="L92" s="123"/>
      <c r="M92" s="123"/>
      <c r="N92" s="123"/>
    </row>
    <row r="93" spans="1:20" ht="15">
      <c r="A93" s="1309"/>
      <c r="B93" s="1310"/>
      <c r="C93" s="1310"/>
      <c r="D93" s="1310"/>
      <c r="E93" s="1310"/>
      <c r="F93" s="1310"/>
      <c r="G93" s="1311"/>
      <c r="H93" s="308"/>
      <c r="I93" s="123"/>
      <c r="J93" s="123"/>
      <c r="K93" s="123"/>
      <c r="L93" s="123"/>
      <c r="M93" s="123"/>
      <c r="N93" s="123"/>
    </row>
    <row r="94" spans="1:20" ht="15">
      <c r="A94" s="663"/>
      <c r="B94" s="664"/>
      <c r="C94" s="664"/>
      <c r="D94" s="664"/>
      <c r="E94" s="664"/>
      <c r="F94" s="664"/>
      <c r="G94" s="665"/>
      <c r="H94" s="308"/>
      <c r="I94" s="123"/>
      <c r="J94" s="123"/>
      <c r="K94" s="123"/>
      <c r="L94" s="123"/>
      <c r="M94" s="123"/>
      <c r="N94" s="123"/>
    </row>
    <row r="95" spans="1:20" ht="15">
      <c r="A95" s="663"/>
      <c r="B95" s="664"/>
      <c r="C95" s="664"/>
      <c r="D95" s="664"/>
      <c r="E95" s="664"/>
      <c r="F95" s="664"/>
      <c r="G95" s="665"/>
      <c r="H95" s="308"/>
      <c r="I95" s="123"/>
      <c r="J95" s="123"/>
      <c r="K95" s="123"/>
      <c r="L95" s="123"/>
      <c r="M95" s="123"/>
      <c r="N95" s="123"/>
    </row>
    <row r="96" spans="1:20" ht="15">
      <c r="A96" s="663"/>
      <c r="B96" s="664"/>
      <c r="C96" s="664"/>
      <c r="D96" s="664"/>
      <c r="E96" s="664"/>
      <c r="F96" s="664"/>
      <c r="G96" s="665"/>
      <c r="H96" s="308"/>
      <c r="I96" s="123"/>
      <c r="J96" s="123"/>
      <c r="K96" s="123"/>
      <c r="L96" s="123"/>
      <c r="M96" s="123"/>
      <c r="N96" s="123"/>
    </row>
    <row r="97" spans="1:14" ht="15">
      <c r="A97" s="663"/>
      <c r="B97" s="664"/>
      <c r="C97" s="664"/>
      <c r="D97" s="664"/>
      <c r="E97" s="664"/>
      <c r="F97" s="664"/>
      <c r="G97" s="665"/>
      <c r="H97" s="308"/>
      <c r="I97" s="123"/>
      <c r="J97" s="123"/>
      <c r="K97" s="123"/>
      <c r="L97" s="123"/>
      <c r="M97" s="123"/>
      <c r="N97" s="123"/>
    </row>
    <row r="98" spans="1:14" ht="15">
      <c r="A98" s="663"/>
      <c r="B98" s="664"/>
      <c r="C98" s="664"/>
      <c r="D98" s="664"/>
      <c r="E98" s="664"/>
      <c r="F98" s="664"/>
      <c r="G98" s="665"/>
      <c r="H98" s="151"/>
      <c r="K98" s="123"/>
      <c r="L98" s="123"/>
      <c r="M98" s="123"/>
      <c r="N98" s="123"/>
    </row>
    <row r="99" spans="1:14" ht="15">
      <c r="A99" s="663"/>
      <c r="B99" s="664"/>
      <c r="C99" s="664"/>
      <c r="D99" s="664"/>
      <c r="E99" s="664"/>
      <c r="F99" s="664"/>
      <c r="G99" s="665"/>
      <c r="H99" s="151"/>
      <c r="K99" s="123"/>
      <c r="L99" s="123"/>
      <c r="M99" s="123"/>
      <c r="N99" s="123"/>
    </row>
    <row r="100" spans="1:14" ht="15">
      <c r="A100" s="663"/>
      <c r="B100" s="664"/>
      <c r="C100" s="664"/>
      <c r="D100" s="664"/>
      <c r="E100" s="664"/>
      <c r="F100" s="664"/>
      <c r="G100" s="665"/>
      <c r="H100" s="151"/>
      <c r="K100" s="123"/>
      <c r="L100" s="123"/>
      <c r="M100" s="123"/>
      <c r="N100" s="123"/>
    </row>
    <row r="101" spans="1:14" ht="15">
      <c r="A101" s="663"/>
      <c r="B101" s="664"/>
      <c r="C101" s="664"/>
      <c r="D101" s="664"/>
      <c r="E101" s="664"/>
      <c r="F101" s="664"/>
      <c r="G101" s="665"/>
      <c r="H101" s="151"/>
      <c r="K101" s="123"/>
      <c r="L101" s="123"/>
      <c r="M101" s="123"/>
      <c r="N101" s="123"/>
    </row>
    <row r="102" spans="1:14" ht="15">
      <c r="A102" s="663"/>
      <c r="B102" s="664"/>
      <c r="C102" s="664"/>
      <c r="D102" s="664"/>
      <c r="E102" s="664"/>
      <c r="F102" s="664"/>
      <c r="G102" s="665"/>
      <c r="H102" s="308"/>
      <c r="I102" s="123"/>
      <c r="J102" s="123"/>
      <c r="K102" s="123"/>
      <c r="L102" s="123"/>
      <c r="M102" s="123"/>
      <c r="N102" s="123"/>
    </row>
    <row r="103" spans="1:14" ht="15">
      <c r="A103" s="663"/>
      <c r="B103" s="664"/>
      <c r="C103" s="664"/>
      <c r="D103" s="664"/>
      <c r="E103" s="664"/>
      <c r="F103" s="664"/>
      <c r="G103" s="665"/>
      <c r="H103" s="308"/>
      <c r="I103" s="123"/>
      <c r="J103" s="123"/>
      <c r="K103" s="123"/>
      <c r="L103" s="123"/>
      <c r="M103" s="123"/>
      <c r="N103" s="123"/>
    </row>
    <row r="104" spans="1:14" ht="15">
      <c r="A104" s="663"/>
      <c r="B104" s="664"/>
      <c r="C104" s="664"/>
      <c r="D104" s="664"/>
      <c r="E104" s="664"/>
      <c r="F104" s="664"/>
      <c r="G104" s="665"/>
      <c r="H104" s="308"/>
      <c r="I104" s="123"/>
      <c r="J104" s="123"/>
      <c r="K104" s="123"/>
      <c r="L104" s="123"/>
      <c r="M104" s="123"/>
      <c r="N104" s="123"/>
    </row>
    <row r="105" spans="1:14" ht="15">
      <c r="A105" s="663"/>
      <c r="B105" s="664"/>
      <c r="C105" s="664"/>
      <c r="D105" s="664"/>
      <c r="E105" s="664"/>
      <c r="F105" s="664"/>
      <c r="G105" s="665"/>
      <c r="H105" s="308"/>
      <c r="I105" s="123"/>
      <c r="J105" s="123"/>
      <c r="K105" s="123"/>
      <c r="L105" s="123"/>
      <c r="M105" s="123"/>
      <c r="N105" s="123"/>
    </row>
    <row r="106" spans="1:14" ht="15">
      <c r="A106" s="663"/>
      <c r="B106" s="664"/>
      <c r="C106" s="664"/>
      <c r="D106" s="664"/>
      <c r="E106" s="664"/>
      <c r="F106" s="664"/>
      <c r="G106" s="665"/>
      <c r="H106" s="308"/>
      <c r="I106" s="123"/>
      <c r="J106" s="123"/>
      <c r="K106" s="123"/>
      <c r="L106" s="123"/>
      <c r="M106" s="123"/>
      <c r="N106" s="123"/>
    </row>
    <row r="107" spans="1:14" ht="15">
      <c r="A107" s="663"/>
      <c r="B107" s="664"/>
      <c r="C107" s="664"/>
      <c r="D107" s="664"/>
      <c r="E107" s="664"/>
      <c r="F107" s="664"/>
      <c r="G107" s="665"/>
      <c r="H107" s="308"/>
      <c r="I107" s="123"/>
      <c r="J107" s="123"/>
      <c r="K107" s="123"/>
      <c r="L107" s="123"/>
      <c r="M107" s="123"/>
      <c r="N107" s="123"/>
    </row>
    <row r="108" spans="1:14" ht="15">
      <c r="A108" s="663"/>
      <c r="B108" s="664"/>
      <c r="C108" s="664"/>
      <c r="D108" s="664"/>
      <c r="E108" s="664"/>
      <c r="F108" s="664"/>
      <c r="G108" s="665"/>
      <c r="H108" s="308"/>
      <c r="I108" s="123"/>
      <c r="J108" s="123"/>
      <c r="K108" s="123"/>
      <c r="L108" s="123"/>
      <c r="M108" s="123"/>
      <c r="N108" s="123"/>
    </row>
    <row r="109" spans="1:14" ht="15">
      <c r="A109" s="663"/>
      <c r="B109" s="664"/>
      <c r="C109" s="664"/>
      <c r="D109" s="664"/>
      <c r="E109" s="664"/>
      <c r="F109" s="664"/>
      <c r="G109" s="665"/>
      <c r="H109" s="308"/>
      <c r="I109" s="123"/>
      <c r="J109" s="123"/>
      <c r="K109" s="123"/>
      <c r="L109" s="123"/>
      <c r="M109" s="123"/>
      <c r="N109" s="123"/>
    </row>
    <row r="110" spans="1:14" ht="15">
      <c r="A110" s="663"/>
      <c r="B110" s="664"/>
      <c r="C110" s="664"/>
      <c r="D110" s="664"/>
      <c r="E110" s="664"/>
      <c r="F110" s="664"/>
      <c r="G110" s="665"/>
      <c r="H110" s="308"/>
      <c r="I110" s="123"/>
      <c r="J110" s="123"/>
      <c r="K110" s="123"/>
      <c r="L110" s="123"/>
      <c r="M110" s="123"/>
      <c r="N110" s="123"/>
    </row>
    <row r="111" spans="1:14" ht="15">
      <c r="A111" s="663"/>
      <c r="B111" s="664"/>
      <c r="C111" s="664"/>
      <c r="D111" s="664"/>
      <c r="E111" s="664"/>
      <c r="F111" s="664"/>
      <c r="G111" s="665"/>
      <c r="H111" s="308"/>
      <c r="I111" s="123"/>
      <c r="J111" s="123"/>
      <c r="K111" s="123"/>
      <c r="L111" s="123"/>
      <c r="M111" s="123"/>
      <c r="N111" s="123"/>
    </row>
    <row r="112" spans="1:14" ht="15">
      <c r="A112" s="663"/>
      <c r="B112" s="664"/>
      <c r="C112" s="664"/>
      <c r="D112" s="664"/>
      <c r="E112" s="664"/>
      <c r="F112" s="664"/>
      <c r="G112" s="665"/>
      <c r="H112" s="308"/>
      <c r="I112" s="123"/>
      <c r="J112" s="123"/>
      <c r="K112" s="123"/>
      <c r="L112" s="123"/>
      <c r="M112" s="123"/>
      <c r="N112" s="123"/>
    </row>
    <row r="113" spans="1:14" ht="15">
      <c r="A113" s="663"/>
      <c r="B113" s="664"/>
      <c r="C113" s="664"/>
      <c r="D113" s="664"/>
      <c r="E113" s="664"/>
      <c r="F113" s="664"/>
      <c r="G113" s="665"/>
      <c r="H113" s="308"/>
      <c r="I113" s="123"/>
      <c r="J113" s="123"/>
      <c r="K113" s="123"/>
      <c r="L113" s="123"/>
      <c r="M113" s="123"/>
      <c r="N113" s="123"/>
    </row>
    <row r="114" spans="1:14" ht="15">
      <c r="A114" s="669"/>
      <c r="B114" s="670"/>
      <c r="C114" s="670"/>
      <c r="D114" s="670"/>
      <c r="E114" s="670"/>
      <c r="F114" s="670"/>
      <c r="G114" s="671"/>
      <c r="H114" s="308"/>
      <c r="I114" s="123"/>
      <c r="J114" s="123"/>
      <c r="K114" s="123"/>
      <c r="L114" s="123"/>
      <c r="M114" s="123"/>
      <c r="N114" s="123"/>
    </row>
    <row r="115" spans="1:14" ht="14.25" customHeight="1">
      <c r="A115" s="1319" t="s">
        <v>294</v>
      </c>
      <c r="B115" s="1320"/>
      <c r="C115" s="1320"/>
      <c r="D115" s="1320"/>
      <c r="E115" s="1320"/>
      <c r="F115" s="1320"/>
      <c r="G115" s="1321"/>
      <c r="H115" s="308"/>
      <c r="I115" s="123"/>
      <c r="J115" s="123"/>
      <c r="K115" s="123"/>
      <c r="L115" s="123"/>
      <c r="M115" s="123"/>
      <c r="N115" s="123"/>
    </row>
    <row r="116" spans="1:14" ht="15">
      <c r="A116" s="1322"/>
      <c r="B116" s="1323"/>
      <c r="C116" s="1323"/>
      <c r="D116" s="1323"/>
      <c r="E116" s="1323"/>
      <c r="F116" s="1323"/>
      <c r="G116" s="1324"/>
      <c r="H116" s="308"/>
      <c r="I116" s="123"/>
      <c r="J116" s="123"/>
      <c r="K116" s="123"/>
      <c r="L116" s="123"/>
      <c r="M116" s="123"/>
      <c r="N116" s="123"/>
    </row>
    <row r="117" spans="1:14" ht="15">
      <c r="A117" s="1322"/>
      <c r="B117" s="1323"/>
      <c r="C117" s="1323"/>
      <c r="D117" s="1323"/>
      <c r="E117" s="1323"/>
      <c r="F117" s="1323"/>
      <c r="G117" s="1324"/>
      <c r="H117" s="308"/>
      <c r="I117" s="123"/>
      <c r="J117" s="123"/>
      <c r="K117" s="123"/>
      <c r="L117" s="123"/>
      <c r="M117" s="123"/>
      <c r="N117" s="123"/>
    </row>
    <row r="118" spans="1:14" ht="15">
      <c r="A118" s="1325"/>
      <c r="B118" s="1326"/>
      <c r="C118" s="1326"/>
      <c r="D118" s="1326"/>
      <c r="E118" s="1326"/>
      <c r="F118" s="1326"/>
      <c r="G118" s="1327"/>
      <c r="H118" s="308"/>
      <c r="I118" s="123"/>
      <c r="J118" s="123"/>
      <c r="K118" s="123"/>
      <c r="L118" s="123"/>
      <c r="M118" s="123"/>
      <c r="N118" s="123"/>
    </row>
    <row r="119" spans="1:14" ht="15">
      <c r="A119" s="663"/>
      <c r="B119" s="664"/>
      <c r="C119" s="664"/>
      <c r="D119" s="664"/>
      <c r="E119" s="664"/>
      <c r="F119" s="664"/>
      <c r="G119" s="665"/>
      <c r="H119" s="308"/>
      <c r="I119" s="123"/>
      <c r="J119" s="123"/>
      <c r="K119" s="123"/>
      <c r="L119" s="123"/>
      <c r="M119" s="123"/>
      <c r="N119" s="123"/>
    </row>
    <row r="120" spans="1:14" ht="15">
      <c r="A120" s="663"/>
      <c r="B120" s="664"/>
      <c r="C120" s="664"/>
      <c r="D120" s="664"/>
      <c r="E120" s="664"/>
      <c r="F120" s="664"/>
      <c r="G120" s="665"/>
      <c r="H120" s="308"/>
      <c r="I120" s="123"/>
      <c r="J120" s="123"/>
      <c r="K120" s="123"/>
      <c r="L120" s="123"/>
      <c r="M120" s="123"/>
      <c r="N120" s="123"/>
    </row>
    <row r="121" spans="1:14" ht="15">
      <c r="A121" s="663"/>
      <c r="B121" s="664"/>
      <c r="C121" s="664"/>
      <c r="D121" s="664"/>
      <c r="E121" s="664"/>
      <c r="F121" s="664"/>
      <c r="G121" s="665"/>
      <c r="H121" s="308"/>
      <c r="I121" s="123"/>
      <c r="J121" s="123"/>
      <c r="K121" s="123"/>
      <c r="L121" s="123"/>
      <c r="M121" s="123"/>
      <c r="N121" s="123"/>
    </row>
    <row r="122" spans="1:14" ht="15">
      <c r="A122" s="663"/>
      <c r="B122" s="664"/>
      <c r="C122" s="664"/>
      <c r="D122" s="664"/>
      <c r="E122" s="664"/>
      <c r="F122" s="664"/>
      <c r="G122" s="665"/>
      <c r="H122" s="308"/>
      <c r="I122" s="123"/>
      <c r="J122" s="123"/>
      <c r="K122" s="123"/>
      <c r="L122" s="123"/>
      <c r="M122" s="123"/>
      <c r="N122" s="123"/>
    </row>
    <row r="123" spans="1:14" ht="15">
      <c r="A123" s="663"/>
      <c r="B123" s="664"/>
      <c r="C123" s="664"/>
      <c r="D123" s="664"/>
      <c r="E123" s="664"/>
      <c r="F123" s="664"/>
      <c r="G123" s="665"/>
      <c r="H123" s="308"/>
      <c r="I123" s="123"/>
      <c r="J123" s="123"/>
      <c r="K123" s="123"/>
      <c r="L123" s="123"/>
      <c r="M123" s="123"/>
      <c r="N123" s="123"/>
    </row>
    <row r="124" spans="1:14" ht="15">
      <c r="A124" s="663"/>
      <c r="B124" s="664"/>
      <c r="C124" s="664"/>
      <c r="D124" s="664"/>
      <c r="E124" s="664"/>
      <c r="F124" s="664"/>
      <c r="G124" s="665"/>
      <c r="H124" s="151"/>
      <c r="K124" s="123"/>
      <c r="L124" s="123"/>
      <c r="M124" s="123"/>
      <c r="N124" s="123"/>
    </row>
    <row r="125" spans="1:14" ht="15">
      <c r="A125" s="663"/>
      <c r="B125" s="664"/>
      <c r="C125" s="664"/>
      <c r="D125" s="664"/>
      <c r="E125" s="664"/>
      <c r="F125" s="664"/>
      <c r="G125" s="665"/>
      <c r="H125" s="151"/>
      <c r="K125" s="123"/>
      <c r="L125" s="123"/>
      <c r="M125" s="123"/>
      <c r="N125" s="123"/>
    </row>
    <row r="126" spans="1:14" ht="15">
      <c r="A126" s="663"/>
      <c r="B126" s="664"/>
      <c r="C126" s="664"/>
      <c r="D126" s="664"/>
      <c r="E126" s="664"/>
      <c r="F126" s="664"/>
      <c r="G126" s="665"/>
      <c r="H126" s="151"/>
      <c r="K126" s="123"/>
      <c r="L126" s="123"/>
      <c r="M126" s="123"/>
      <c r="N126" s="123"/>
    </row>
    <row r="127" spans="1:14" ht="15">
      <c r="A127" s="663"/>
      <c r="B127" s="664"/>
      <c r="C127" s="664"/>
      <c r="D127" s="664"/>
      <c r="E127" s="664"/>
      <c r="F127" s="664"/>
      <c r="G127" s="665"/>
      <c r="H127" s="151"/>
      <c r="K127" s="123"/>
      <c r="L127" s="123"/>
      <c r="M127" s="123"/>
      <c r="N127" s="123"/>
    </row>
    <row r="128" spans="1:14" ht="15">
      <c r="A128" s="663"/>
      <c r="B128" s="664"/>
      <c r="C128" s="664"/>
      <c r="D128" s="664"/>
      <c r="E128" s="664"/>
      <c r="F128" s="664"/>
      <c r="G128" s="665"/>
      <c r="H128" s="308"/>
      <c r="I128" s="123"/>
      <c r="J128" s="123"/>
      <c r="K128" s="123"/>
      <c r="L128" s="123"/>
      <c r="M128" s="123"/>
      <c r="N128" s="123"/>
    </row>
    <row r="129" spans="1:14" ht="15">
      <c r="A129" s="663"/>
      <c r="B129" s="664"/>
      <c r="C129" s="664"/>
      <c r="D129" s="664"/>
      <c r="E129" s="664"/>
      <c r="F129" s="664"/>
      <c r="G129" s="665"/>
      <c r="H129" s="308"/>
      <c r="I129" s="123"/>
      <c r="J129" s="123"/>
      <c r="K129" s="123"/>
      <c r="L129" s="123"/>
      <c r="M129" s="123"/>
      <c r="N129" s="123"/>
    </row>
    <row r="130" spans="1:14" ht="15">
      <c r="A130" s="663"/>
      <c r="B130" s="664"/>
      <c r="C130" s="664"/>
      <c r="D130" s="664"/>
      <c r="E130" s="664"/>
      <c r="F130" s="664"/>
      <c r="G130" s="665"/>
      <c r="H130" s="308"/>
      <c r="I130" s="123"/>
      <c r="J130" s="123"/>
      <c r="K130" s="123"/>
      <c r="L130" s="123"/>
      <c r="M130" s="123"/>
      <c r="N130" s="123"/>
    </row>
    <row r="131" spans="1:14" ht="15">
      <c r="A131" s="663"/>
      <c r="B131" s="664"/>
      <c r="C131" s="664"/>
      <c r="D131" s="664"/>
      <c r="E131" s="664"/>
      <c r="F131" s="664"/>
      <c r="G131" s="665"/>
      <c r="H131" s="308"/>
      <c r="I131" s="123"/>
      <c r="J131" s="123"/>
      <c r="K131" s="123"/>
      <c r="L131" s="123"/>
      <c r="M131" s="123"/>
      <c r="N131" s="123"/>
    </row>
    <row r="132" spans="1:14" ht="15">
      <c r="A132" s="663"/>
      <c r="B132" s="664"/>
      <c r="C132" s="664"/>
      <c r="D132" s="664"/>
      <c r="E132" s="664"/>
      <c r="F132" s="664"/>
      <c r="G132" s="665"/>
      <c r="H132" s="308"/>
      <c r="I132" s="123"/>
      <c r="J132" s="123"/>
      <c r="K132" s="123"/>
      <c r="L132" s="123"/>
      <c r="M132" s="123"/>
      <c r="N132" s="123"/>
    </row>
    <row r="133" spans="1:14" ht="15">
      <c r="A133" s="663"/>
      <c r="B133" s="664"/>
      <c r="C133" s="664"/>
      <c r="D133" s="664"/>
      <c r="E133" s="664"/>
      <c r="F133" s="664"/>
      <c r="G133" s="665"/>
      <c r="H133" s="308"/>
      <c r="I133" s="123"/>
      <c r="J133" s="123"/>
      <c r="K133" s="123"/>
      <c r="L133" s="123"/>
      <c r="M133" s="123"/>
      <c r="N133" s="123"/>
    </row>
    <row r="134" spans="1:14" ht="15">
      <c r="A134" s="663"/>
      <c r="B134" s="664"/>
      <c r="C134" s="664"/>
      <c r="D134" s="664"/>
      <c r="E134" s="664"/>
      <c r="F134" s="664"/>
      <c r="G134" s="665"/>
      <c r="H134" s="308"/>
      <c r="I134" s="123"/>
      <c r="J134" s="123"/>
      <c r="K134" s="123"/>
      <c r="L134" s="123"/>
      <c r="M134" s="123"/>
      <c r="N134" s="123"/>
    </row>
    <row r="135" spans="1:14" ht="15">
      <c r="A135" s="663"/>
      <c r="B135" s="664"/>
      <c r="C135" s="664"/>
      <c r="D135" s="664"/>
      <c r="E135" s="664"/>
      <c r="F135" s="664"/>
      <c r="G135" s="665"/>
      <c r="H135" s="308"/>
      <c r="I135" s="123"/>
      <c r="J135" s="123"/>
      <c r="K135" s="123"/>
      <c r="L135" s="123"/>
      <c r="M135" s="123"/>
      <c r="N135" s="123"/>
    </row>
    <row r="136" spans="1:14" ht="15">
      <c r="A136" s="669"/>
      <c r="B136" s="670"/>
      <c r="C136" s="670"/>
      <c r="D136" s="670"/>
      <c r="E136" s="670"/>
      <c r="F136" s="670"/>
      <c r="G136" s="671"/>
      <c r="H136" s="308"/>
      <c r="I136" s="123"/>
      <c r="J136" s="123"/>
      <c r="K136" s="123"/>
      <c r="L136" s="123"/>
      <c r="M136" s="123"/>
      <c r="N136" s="123"/>
    </row>
    <row r="137" spans="1:14" ht="14.25" customHeight="1">
      <c r="A137" s="1304" t="s">
        <v>295</v>
      </c>
      <c r="B137" s="1305"/>
      <c r="C137" s="1305"/>
      <c r="D137" s="1305"/>
      <c r="E137" s="1305"/>
      <c r="F137" s="1305"/>
      <c r="G137" s="1306"/>
      <c r="H137" s="308"/>
      <c r="I137" s="123"/>
      <c r="J137" s="123"/>
      <c r="K137" s="123"/>
      <c r="L137" s="123"/>
      <c r="M137" s="123"/>
      <c r="N137" s="123"/>
    </row>
    <row r="138" spans="1:14" ht="15">
      <c r="A138" s="1291"/>
      <c r="B138" s="1307"/>
      <c r="C138" s="1307"/>
      <c r="D138" s="1307"/>
      <c r="E138" s="1307"/>
      <c r="F138" s="1307"/>
      <c r="G138" s="1308"/>
      <c r="H138" s="308"/>
      <c r="I138" s="123"/>
      <c r="J138" s="123"/>
      <c r="K138" s="123"/>
      <c r="L138" s="123"/>
      <c r="M138" s="123"/>
      <c r="N138" s="123"/>
    </row>
    <row r="139" spans="1:14" ht="15">
      <c r="A139" s="1291"/>
      <c r="B139" s="1307"/>
      <c r="C139" s="1307"/>
      <c r="D139" s="1307"/>
      <c r="E139" s="1307"/>
      <c r="F139" s="1307"/>
      <c r="G139" s="1308"/>
      <c r="H139" s="308"/>
      <c r="I139" s="123"/>
      <c r="J139" s="123"/>
      <c r="K139" s="123"/>
      <c r="L139" s="123"/>
      <c r="M139" s="123"/>
      <c r="N139" s="123"/>
    </row>
    <row r="140" spans="1:14" ht="15">
      <c r="A140" s="1309"/>
      <c r="B140" s="1310"/>
      <c r="C140" s="1310"/>
      <c r="D140" s="1310"/>
      <c r="E140" s="1310"/>
      <c r="F140" s="1310"/>
      <c r="G140" s="1311"/>
      <c r="H140" s="308"/>
      <c r="I140" s="123"/>
      <c r="J140" s="123"/>
      <c r="K140" s="123"/>
      <c r="L140" s="123"/>
      <c r="M140" s="123"/>
      <c r="N140" s="123"/>
    </row>
    <row r="141" spans="1:14" ht="15">
      <c r="A141" s="663"/>
      <c r="B141" s="664"/>
      <c r="C141" s="664"/>
      <c r="D141" s="664"/>
      <c r="E141" s="664"/>
      <c r="F141" s="664"/>
      <c r="G141" s="665"/>
      <c r="H141" s="308"/>
      <c r="I141" s="123"/>
      <c r="J141" s="123"/>
      <c r="K141" s="123"/>
      <c r="L141" s="123"/>
      <c r="M141" s="123"/>
      <c r="N141" s="123"/>
    </row>
    <row r="142" spans="1:14" ht="15">
      <c r="A142" s="663"/>
      <c r="B142" s="664"/>
      <c r="C142" s="664"/>
      <c r="D142" s="664"/>
      <c r="E142" s="664"/>
      <c r="F142" s="664"/>
      <c r="G142" s="665"/>
      <c r="H142" s="308"/>
      <c r="I142" s="123"/>
      <c r="J142" s="123"/>
      <c r="K142" s="123"/>
      <c r="L142" s="123"/>
      <c r="M142" s="123"/>
      <c r="N142" s="123"/>
    </row>
    <row r="143" spans="1:14" ht="15">
      <c r="A143" s="663"/>
      <c r="B143" s="664"/>
      <c r="C143" s="664"/>
      <c r="D143" s="664"/>
      <c r="E143" s="664"/>
      <c r="F143" s="664"/>
      <c r="G143" s="665"/>
      <c r="H143" s="308"/>
      <c r="I143" s="123"/>
      <c r="J143" s="123"/>
      <c r="K143" s="123"/>
      <c r="L143" s="123"/>
      <c r="M143" s="123"/>
      <c r="N143" s="123"/>
    </row>
    <row r="144" spans="1:14" ht="15">
      <c r="A144" s="663"/>
      <c r="B144" s="664"/>
      <c r="C144" s="664"/>
      <c r="D144" s="664"/>
      <c r="E144" s="664"/>
      <c r="F144" s="664"/>
      <c r="G144" s="665"/>
      <c r="H144" s="308"/>
      <c r="I144" s="123"/>
      <c r="J144" s="123"/>
      <c r="K144" s="123"/>
      <c r="L144" s="123"/>
      <c r="M144" s="123"/>
      <c r="N144" s="123"/>
    </row>
    <row r="145" spans="1:14" ht="15">
      <c r="A145" s="663"/>
      <c r="B145" s="664"/>
      <c r="C145" s="664"/>
      <c r="D145" s="664"/>
      <c r="E145" s="664"/>
      <c r="F145" s="664"/>
      <c r="G145" s="665"/>
      <c r="H145" s="308"/>
      <c r="I145" s="123"/>
      <c r="J145" s="123"/>
      <c r="K145" s="123"/>
      <c r="L145" s="123"/>
      <c r="M145" s="123"/>
      <c r="N145" s="123"/>
    </row>
    <row r="146" spans="1:14" ht="15">
      <c r="A146" s="663"/>
      <c r="B146" s="664"/>
      <c r="C146" s="664"/>
      <c r="D146" s="664"/>
      <c r="E146" s="664"/>
      <c r="F146" s="664"/>
      <c r="G146" s="665"/>
      <c r="H146" s="308"/>
      <c r="I146" s="123"/>
      <c r="J146" s="123"/>
      <c r="K146" s="123"/>
      <c r="L146" s="123"/>
      <c r="M146" s="123"/>
      <c r="N146" s="123"/>
    </row>
    <row r="147" spans="1:14" ht="15">
      <c r="A147" s="663"/>
      <c r="B147" s="664"/>
      <c r="C147" s="664"/>
      <c r="D147" s="664"/>
      <c r="E147" s="664"/>
      <c r="F147" s="664"/>
      <c r="G147" s="665"/>
      <c r="H147" s="308"/>
      <c r="I147" s="123"/>
      <c r="J147" s="123"/>
      <c r="K147" s="123"/>
      <c r="L147" s="123"/>
      <c r="M147" s="123"/>
      <c r="N147" s="123"/>
    </row>
    <row r="148" spans="1:14" ht="15">
      <c r="A148" s="663"/>
      <c r="B148" s="664"/>
      <c r="C148" s="664"/>
      <c r="D148" s="664"/>
      <c r="E148" s="664"/>
      <c r="F148" s="664"/>
      <c r="G148" s="665"/>
      <c r="H148" s="308"/>
      <c r="I148" s="123"/>
      <c r="J148" s="123"/>
      <c r="K148" s="123"/>
      <c r="L148" s="123"/>
      <c r="M148" s="123"/>
      <c r="N148" s="123"/>
    </row>
    <row r="149" spans="1:14" ht="15">
      <c r="A149" s="663"/>
      <c r="B149" s="664"/>
      <c r="C149" s="664"/>
      <c r="D149" s="664"/>
      <c r="E149" s="664"/>
      <c r="F149" s="664"/>
      <c r="G149" s="665"/>
      <c r="H149" s="308"/>
      <c r="I149" s="123"/>
      <c r="J149" s="123"/>
      <c r="K149" s="123"/>
      <c r="L149" s="123"/>
      <c r="M149" s="123"/>
      <c r="N149" s="123"/>
    </row>
    <row r="150" spans="1:14" ht="15">
      <c r="A150" s="663"/>
      <c r="B150" s="664"/>
      <c r="C150" s="664"/>
      <c r="D150" s="664"/>
      <c r="E150" s="664"/>
      <c r="F150" s="664"/>
      <c r="G150" s="665"/>
      <c r="H150" s="308"/>
      <c r="I150" s="123"/>
      <c r="J150" s="123"/>
      <c r="K150" s="123"/>
      <c r="L150" s="123"/>
      <c r="M150" s="123"/>
      <c r="N150" s="123"/>
    </row>
    <row r="151" spans="1:14" ht="15">
      <c r="A151" s="663"/>
      <c r="B151" s="664"/>
      <c r="C151" s="664"/>
      <c r="D151" s="664"/>
      <c r="E151" s="664"/>
      <c r="F151" s="664"/>
      <c r="G151" s="665"/>
      <c r="H151" s="151"/>
      <c r="K151" s="123"/>
      <c r="L151" s="123"/>
      <c r="M151" s="123"/>
      <c r="N151" s="123"/>
    </row>
    <row r="152" spans="1:14" ht="15">
      <c r="A152" s="663"/>
      <c r="B152" s="664"/>
      <c r="C152" s="664"/>
      <c r="D152" s="664"/>
      <c r="E152" s="664"/>
      <c r="F152" s="664"/>
      <c r="G152" s="665"/>
      <c r="H152" s="151"/>
      <c r="K152" s="123"/>
      <c r="L152" s="123"/>
      <c r="M152" s="123"/>
      <c r="N152" s="123"/>
    </row>
    <row r="153" spans="1:14" ht="15">
      <c r="A153" s="663"/>
      <c r="B153" s="664"/>
      <c r="C153" s="664"/>
      <c r="D153" s="664"/>
      <c r="E153" s="664"/>
      <c r="F153" s="664"/>
      <c r="G153" s="665"/>
      <c r="H153" s="151"/>
      <c r="K153" s="123"/>
      <c r="L153" s="123"/>
      <c r="M153" s="123"/>
      <c r="N153" s="123"/>
    </row>
    <row r="154" spans="1:14" ht="15">
      <c r="A154" s="663"/>
      <c r="B154" s="664"/>
      <c r="C154" s="664"/>
      <c r="D154" s="664"/>
      <c r="E154" s="664"/>
      <c r="F154" s="664"/>
      <c r="G154" s="665"/>
      <c r="H154" s="151"/>
      <c r="K154" s="123"/>
      <c r="L154" s="123"/>
      <c r="M154" s="123"/>
      <c r="N154" s="123"/>
    </row>
    <row r="155" spans="1:14" ht="15">
      <c r="A155" s="663"/>
      <c r="B155" s="664"/>
      <c r="C155" s="664"/>
      <c r="D155" s="664"/>
      <c r="E155" s="664"/>
      <c r="F155" s="664"/>
      <c r="G155" s="665"/>
      <c r="H155" s="308"/>
      <c r="I155" s="123"/>
      <c r="J155" s="123"/>
      <c r="K155" s="123"/>
      <c r="L155" s="123"/>
      <c r="M155" s="123"/>
      <c r="N155" s="123"/>
    </row>
    <row r="156" spans="1:14" ht="15">
      <c r="A156" s="663"/>
      <c r="B156" s="664"/>
      <c r="C156" s="664"/>
      <c r="D156" s="664"/>
      <c r="E156" s="664"/>
      <c r="F156" s="664"/>
      <c r="G156" s="665"/>
      <c r="H156" s="308"/>
      <c r="I156" s="123"/>
      <c r="J156" s="123"/>
      <c r="K156" s="123"/>
      <c r="L156" s="123"/>
      <c r="M156" s="123"/>
      <c r="N156" s="123"/>
    </row>
    <row r="157" spans="1:14" ht="15">
      <c r="A157" s="663"/>
      <c r="B157" s="664"/>
      <c r="C157" s="664"/>
      <c r="D157" s="664"/>
      <c r="E157" s="664"/>
      <c r="F157" s="664"/>
      <c r="G157" s="665"/>
      <c r="H157" s="308"/>
      <c r="I157" s="123"/>
      <c r="J157" s="123"/>
      <c r="K157" s="123"/>
      <c r="L157" s="123"/>
      <c r="M157" s="123"/>
      <c r="N157" s="123"/>
    </row>
    <row r="158" spans="1:14" ht="15">
      <c r="A158" s="663"/>
      <c r="B158" s="664"/>
      <c r="C158" s="664"/>
      <c r="D158" s="664"/>
      <c r="E158" s="664"/>
      <c r="F158" s="664"/>
      <c r="G158" s="665"/>
      <c r="H158" s="308"/>
      <c r="I158" s="123"/>
      <c r="J158" s="123"/>
      <c r="K158" s="123"/>
      <c r="L158" s="123"/>
      <c r="M158" s="123"/>
      <c r="N158" s="123"/>
    </row>
    <row r="159" spans="1:14" ht="15">
      <c r="A159" s="663"/>
      <c r="B159" s="664"/>
      <c r="C159" s="664"/>
      <c r="D159" s="664"/>
      <c r="E159" s="664"/>
      <c r="F159" s="664"/>
      <c r="G159" s="665"/>
      <c r="H159" s="308"/>
      <c r="K159" s="123"/>
      <c r="L159" s="123"/>
      <c r="M159" s="123"/>
      <c r="N159" s="123"/>
    </row>
    <row r="160" spans="1:14" ht="15">
      <c r="A160" s="663"/>
      <c r="B160" s="664"/>
      <c r="C160" s="664"/>
      <c r="D160" s="664"/>
      <c r="E160" s="664"/>
      <c r="F160" s="664"/>
      <c r="G160" s="665"/>
      <c r="H160" s="308"/>
      <c r="K160" s="123"/>
      <c r="L160" s="123"/>
      <c r="M160" s="123"/>
      <c r="N160" s="123"/>
    </row>
    <row r="161" spans="1:20" ht="15">
      <c r="A161" s="663"/>
      <c r="B161" s="664"/>
      <c r="C161" s="664"/>
      <c r="D161" s="664"/>
      <c r="E161" s="664"/>
      <c r="F161" s="664"/>
      <c r="G161" s="665"/>
      <c r="H161" s="308"/>
      <c r="K161" s="123"/>
      <c r="L161" s="123"/>
      <c r="M161" s="123"/>
      <c r="N161" s="123"/>
    </row>
    <row r="162" spans="1:20" ht="15">
      <c r="A162" s="663"/>
      <c r="B162" s="664"/>
      <c r="C162" s="664"/>
      <c r="D162" s="664"/>
      <c r="E162" s="664"/>
      <c r="F162" s="664"/>
      <c r="G162" s="665"/>
      <c r="H162" s="308"/>
      <c r="I162" s="123"/>
      <c r="J162" s="123"/>
      <c r="K162" s="123"/>
      <c r="L162" s="123"/>
      <c r="M162" s="123"/>
      <c r="N162" s="123"/>
    </row>
    <row r="163" spans="1:20" ht="15">
      <c r="A163" s="672"/>
      <c r="B163" s="673"/>
      <c r="C163" s="673"/>
      <c r="D163" s="673"/>
      <c r="E163" s="674"/>
      <c r="F163" s="673"/>
      <c r="G163" s="675"/>
      <c r="H163" s="606"/>
      <c r="I163" s="373"/>
      <c r="J163" s="373"/>
      <c r="K163" s="373"/>
      <c r="L163" s="373"/>
      <c r="M163" s="123"/>
      <c r="N163" s="123"/>
    </row>
    <row r="164" spans="1:20" ht="15">
      <c r="A164" s="672"/>
      <c r="B164" s="673"/>
      <c r="C164" s="673"/>
      <c r="D164" s="673"/>
      <c r="E164" s="674"/>
      <c r="F164" s="673"/>
      <c r="G164" s="675"/>
      <c r="H164" s="606"/>
      <c r="I164" s="373"/>
      <c r="J164" s="373"/>
      <c r="K164" s="373"/>
      <c r="L164" s="373"/>
      <c r="M164" s="123"/>
      <c r="N164" s="123"/>
    </row>
    <row r="165" spans="1:20" ht="15">
      <c r="A165" s="672"/>
      <c r="B165" s="676"/>
      <c r="C165" s="676"/>
      <c r="D165" s="676"/>
      <c r="E165" s="674"/>
      <c r="F165" s="673"/>
      <c r="G165" s="675"/>
      <c r="H165" s="606"/>
      <c r="I165" s="373"/>
      <c r="J165" s="373"/>
      <c r="K165" s="373"/>
      <c r="L165" s="373"/>
      <c r="M165" s="123"/>
      <c r="N165" s="123"/>
    </row>
    <row r="166" spans="1:20" ht="15">
      <c r="A166" s="677"/>
      <c r="B166" s="678"/>
      <c r="C166" s="678"/>
      <c r="D166" s="678"/>
      <c r="E166" s="679"/>
      <c r="F166" s="678"/>
      <c r="G166" s="680"/>
      <c r="H166" s="606"/>
      <c r="I166" s="373"/>
      <c r="J166" s="373"/>
      <c r="K166" s="373"/>
      <c r="L166" s="373"/>
      <c r="M166" s="123"/>
      <c r="N166" s="123"/>
    </row>
    <row r="167" spans="1:20" ht="15.75" thickBot="1">
      <c r="A167" s="681"/>
      <c r="B167" s="682"/>
      <c r="C167" s="682"/>
      <c r="D167" s="682"/>
      <c r="E167" s="683"/>
      <c r="F167" s="683"/>
      <c r="G167" s="684"/>
      <c r="H167" s="151"/>
      <c r="K167" s="123"/>
      <c r="L167" s="123"/>
      <c r="M167" s="123"/>
      <c r="N167" s="123"/>
    </row>
    <row r="168" spans="1:20" ht="15.75" thickBot="1">
      <c r="A168" s="685"/>
      <c r="B168" s="686"/>
      <c r="C168" s="1090" t="s">
        <v>564</v>
      </c>
      <c r="D168" s="1091"/>
      <c r="E168" s="1312"/>
      <c r="F168" s="664"/>
      <c r="G168" s="665"/>
      <c r="H168" s="151"/>
      <c r="K168" s="123"/>
      <c r="L168" s="123"/>
      <c r="M168" s="123"/>
      <c r="N168" s="123"/>
    </row>
    <row r="169" spans="1:20" ht="15">
      <c r="A169" s="685"/>
      <c r="B169" s="687"/>
      <c r="C169" s="605" t="s">
        <v>296</v>
      </c>
      <c r="D169" s="448" t="s">
        <v>297</v>
      </c>
      <c r="E169" s="456" t="s">
        <v>660</v>
      </c>
      <c r="F169" s="664"/>
      <c r="G169" s="665"/>
      <c r="H169" s="151"/>
      <c r="K169" s="123"/>
      <c r="L169" s="123"/>
      <c r="M169" s="123"/>
      <c r="N169" s="123"/>
    </row>
    <row r="170" spans="1:20" ht="15.75" thickBot="1">
      <c r="A170" s="685"/>
      <c r="B170" s="688"/>
      <c r="C170" s="689">
        <v>2564.94</v>
      </c>
      <c r="D170" s="690">
        <v>2053.23</v>
      </c>
      <c r="E170" s="691">
        <v>2505</v>
      </c>
      <c r="F170" s="664"/>
      <c r="G170" s="665"/>
      <c r="H170" s="151"/>
      <c r="K170" s="123"/>
      <c r="L170" s="123"/>
      <c r="M170" s="123"/>
      <c r="N170" s="123"/>
    </row>
    <row r="171" spans="1:20" ht="15.75" thickBot="1">
      <c r="A171" s="685"/>
      <c r="B171" s="686"/>
      <c r="C171" s="1313">
        <f>(C170+D170+E170)/3</f>
        <v>2374.39</v>
      </c>
      <c r="D171" s="1314"/>
      <c r="E171" s="1315"/>
      <c r="F171" s="664"/>
      <c r="G171" s="665"/>
      <c r="H171" s="151"/>
      <c r="K171" s="123"/>
      <c r="L171" s="123"/>
      <c r="M171" s="123"/>
      <c r="N171" s="123"/>
    </row>
    <row r="172" spans="1:20" ht="15.75" thickBot="1">
      <c r="A172" s="666"/>
      <c r="B172" s="692"/>
      <c r="C172" s="692"/>
      <c r="D172" s="692"/>
      <c r="E172" s="667"/>
      <c r="F172" s="667"/>
      <c r="G172" s="668"/>
      <c r="H172" s="151"/>
      <c r="K172" s="123"/>
      <c r="L172" s="123"/>
      <c r="M172" s="123"/>
      <c r="N172" s="123"/>
    </row>
    <row r="173" spans="1:20" ht="15">
      <c r="A173" s="151"/>
      <c r="B173" s="151"/>
      <c r="C173" s="151"/>
      <c r="D173" s="151"/>
      <c r="E173" s="151"/>
      <c r="F173" s="151"/>
      <c r="G173" s="151"/>
      <c r="H173" s="151"/>
      <c r="K173" s="123"/>
      <c r="L173" s="123"/>
      <c r="M173" s="123"/>
      <c r="N173" s="123"/>
    </row>
    <row r="174" spans="1:20" ht="15">
      <c r="A174" s="151"/>
      <c r="B174" s="151"/>
      <c r="C174" s="151"/>
      <c r="D174" s="151"/>
      <c r="E174" s="151"/>
      <c r="F174" s="151"/>
      <c r="G174" s="151"/>
      <c r="H174" s="151"/>
      <c r="K174" s="123"/>
      <c r="L174" s="123"/>
      <c r="M174" s="123"/>
      <c r="N174" s="123"/>
    </row>
    <row r="175" spans="1:20" ht="15">
      <c r="A175" s="151"/>
      <c r="B175" s="151"/>
      <c r="C175" s="151"/>
      <c r="D175" s="151"/>
      <c r="E175" s="151"/>
      <c r="F175" s="151"/>
      <c r="G175" s="151"/>
      <c r="H175" s="151"/>
      <c r="K175" s="123"/>
      <c r="L175" s="123"/>
      <c r="M175" s="123"/>
      <c r="N175" s="123"/>
    </row>
    <row r="176" spans="1:20" ht="15">
      <c r="A176" s="151"/>
      <c r="B176" s="151"/>
      <c r="C176" s="151"/>
      <c r="D176" s="151"/>
      <c r="E176" s="151"/>
      <c r="F176" s="151"/>
      <c r="G176" s="151"/>
      <c r="H176" s="151"/>
      <c r="I176" s="151"/>
      <c r="J176" s="151"/>
      <c r="K176" s="151"/>
      <c r="L176" s="151"/>
      <c r="M176" s="151"/>
      <c r="N176" s="151"/>
      <c r="O176" s="151"/>
      <c r="P176" s="151"/>
      <c r="Q176" s="151"/>
      <c r="R176" s="151"/>
      <c r="S176" s="151"/>
      <c r="T176" s="151"/>
    </row>
    <row r="177" spans="1:20" ht="15">
      <c r="A177" s="151"/>
      <c r="B177" s="151"/>
      <c r="C177" s="151"/>
      <c r="D177" s="151"/>
      <c r="E177" s="151"/>
      <c r="F177" s="151"/>
      <c r="G177" s="151"/>
      <c r="H177" s="151"/>
      <c r="I177" s="151"/>
      <c r="J177" s="151"/>
      <c r="K177" s="151"/>
      <c r="L177" s="151"/>
      <c r="M177" s="151"/>
      <c r="N177" s="151"/>
      <c r="O177" s="151"/>
      <c r="P177" s="151"/>
      <c r="Q177" s="151"/>
      <c r="R177" s="151"/>
      <c r="S177" s="151"/>
      <c r="T177" s="151"/>
    </row>
    <row r="178" spans="1:20" ht="15">
      <c r="A178" s="151"/>
      <c r="B178" s="151"/>
      <c r="C178" s="151"/>
      <c r="D178" s="151"/>
      <c r="E178" s="151"/>
      <c r="F178" s="151"/>
      <c r="G178" s="151"/>
      <c r="H178" s="151"/>
      <c r="I178" s="151"/>
      <c r="J178" s="151"/>
      <c r="K178" s="151"/>
      <c r="L178" s="151"/>
      <c r="M178" s="151"/>
      <c r="N178" s="151"/>
      <c r="O178" s="151"/>
      <c r="P178" s="151"/>
      <c r="Q178" s="151"/>
      <c r="R178" s="151"/>
      <c r="S178" s="151"/>
      <c r="T178" s="151"/>
    </row>
    <row r="179" spans="1:20" ht="15">
      <c r="A179" s="151"/>
      <c r="B179" s="151"/>
      <c r="C179" s="151"/>
      <c r="D179" s="151"/>
      <c r="E179" s="151"/>
      <c r="F179" s="151"/>
      <c r="G179" s="151"/>
      <c r="H179" s="151"/>
      <c r="I179" s="151"/>
      <c r="J179" s="151"/>
      <c r="K179" s="151"/>
      <c r="L179" s="151"/>
      <c r="M179" s="151"/>
      <c r="N179" s="151"/>
      <c r="O179" s="151"/>
      <c r="P179" s="151"/>
      <c r="Q179" s="151"/>
      <c r="R179" s="151"/>
      <c r="S179" s="151"/>
      <c r="T179" s="151"/>
    </row>
    <row r="180" spans="1:20" ht="15">
      <c r="A180" s="151"/>
      <c r="B180" s="151"/>
      <c r="C180" s="151"/>
      <c r="D180" s="151"/>
      <c r="E180" s="151"/>
      <c r="F180" s="151"/>
      <c r="G180" s="151"/>
      <c r="H180" s="151"/>
      <c r="I180" s="151"/>
      <c r="J180" s="151"/>
      <c r="K180" s="151"/>
      <c r="L180" s="151"/>
      <c r="M180" s="151"/>
      <c r="N180" s="151"/>
      <c r="O180" s="151"/>
      <c r="P180" s="151"/>
      <c r="Q180" s="151"/>
      <c r="R180" s="151"/>
      <c r="S180" s="151"/>
      <c r="T180" s="151"/>
    </row>
    <row r="181" spans="1:20" ht="15">
      <c r="A181" s="151"/>
      <c r="B181" s="151"/>
      <c r="C181" s="151"/>
      <c r="D181" s="151"/>
      <c r="E181" s="151"/>
      <c r="F181" s="151"/>
      <c r="G181" s="151"/>
      <c r="H181" s="151"/>
      <c r="I181" s="151"/>
      <c r="J181" s="151"/>
      <c r="K181" s="151"/>
      <c r="L181" s="151"/>
      <c r="M181" s="151"/>
      <c r="N181" s="151"/>
      <c r="O181" s="151"/>
      <c r="P181" s="151"/>
      <c r="Q181" s="151"/>
      <c r="R181" s="151"/>
      <c r="S181" s="151"/>
      <c r="T181" s="151"/>
    </row>
    <row r="182" spans="1:20" ht="15">
      <c r="A182" s="151"/>
      <c r="B182" s="151"/>
      <c r="C182" s="151"/>
      <c r="D182" s="151"/>
      <c r="E182" s="151"/>
      <c r="F182" s="151"/>
      <c r="G182" s="151"/>
      <c r="H182" s="151"/>
      <c r="I182" s="151"/>
      <c r="J182" s="151"/>
      <c r="K182" s="151"/>
      <c r="L182" s="151"/>
      <c r="M182" s="151"/>
      <c r="N182" s="151"/>
      <c r="O182" s="151"/>
      <c r="P182" s="151"/>
      <c r="Q182" s="151"/>
      <c r="R182" s="151"/>
      <c r="S182" s="151"/>
      <c r="T182" s="151"/>
    </row>
    <row r="183" spans="1:20" ht="15">
      <c r="A183" s="151"/>
      <c r="B183" s="151"/>
      <c r="C183" s="151"/>
      <c r="D183" s="151"/>
      <c r="E183" s="151"/>
      <c r="F183" s="151"/>
      <c r="G183" s="151"/>
      <c r="H183" s="151"/>
      <c r="I183" s="151"/>
      <c r="J183" s="151"/>
      <c r="K183" s="151"/>
      <c r="L183" s="151"/>
      <c r="M183" s="151"/>
      <c r="N183" s="151"/>
      <c r="O183" s="151"/>
      <c r="P183" s="151"/>
      <c r="Q183" s="151"/>
      <c r="R183" s="151"/>
      <c r="S183" s="151"/>
      <c r="T183" s="151"/>
    </row>
    <row r="184" spans="1:20" ht="15">
      <c r="A184" s="151"/>
      <c r="B184" s="151"/>
      <c r="C184" s="151"/>
      <c r="D184" s="151"/>
      <c r="E184" s="151"/>
      <c r="F184" s="151"/>
      <c r="G184" s="151"/>
      <c r="H184" s="151"/>
      <c r="I184" s="151"/>
      <c r="J184" s="151"/>
      <c r="K184" s="151"/>
      <c r="L184" s="151"/>
      <c r="M184" s="151"/>
      <c r="N184" s="151"/>
      <c r="O184" s="151"/>
      <c r="P184" s="151"/>
      <c r="Q184" s="151"/>
      <c r="R184" s="151"/>
      <c r="S184" s="151"/>
      <c r="T184" s="151"/>
    </row>
    <row r="185" spans="1:20" ht="15">
      <c r="A185" s="151"/>
      <c r="B185" s="151"/>
      <c r="C185" s="151"/>
      <c r="D185" s="151"/>
      <c r="E185" s="151"/>
      <c r="F185" s="151"/>
      <c r="G185" s="151"/>
      <c r="H185" s="151"/>
      <c r="I185" s="151"/>
      <c r="J185" s="151"/>
      <c r="K185" s="151"/>
      <c r="L185" s="151"/>
      <c r="M185" s="151"/>
      <c r="N185" s="151"/>
      <c r="O185" s="151"/>
      <c r="P185" s="151"/>
      <c r="Q185" s="151"/>
      <c r="R185" s="151"/>
      <c r="S185" s="151"/>
      <c r="T185" s="151"/>
    </row>
    <row r="186" spans="1:20" ht="15">
      <c r="A186" s="151"/>
      <c r="B186" s="151"/>
      <c r="C186" s="151"/>
      <c r="D186" s="151"/>
      <c r="E186" s="151"/>
      <c r="F186" s="151"/>
      <c r="G186" s="151"/>
      <c r="H186" s="151"/>
      <c r="I186" s="151"/>
      <c r="J186" s="151"/>
      <c r="K186" s="151"/>
      <c r="L186" s="151"/>
      <c r="M186" s="151"/>
      <c r="N186" s="151"/>
      <c r="O186" s="151"/>
      <c r="P186" s="151"/>
      <c r="Q186" s="151"/>
      <c r="R186" s="151"/>
      <c r="S186" s="151"/>
      <c r="T186" s="151"/>
    </row>
    <row r="187" spans="1:20" ht="15">
      <c r="A187" s="151"/>
      <c r="B187" s="151"/>
      <c r="C187" s="151"/>
      <c r="D187" s="151"/>
      <c r="E187" s="151"/>
      <c r="F187" s="151"/>
      <c r="G187" s="151"/>
      <c r="H187" s="151"/>
      <c r="I187" s="151"/>
      <c r="J187" s="151"/>
      <c r="K187" s="151"/>
      <c r="L187" s="151"/>
      <c r="M187" s="151"/>
      <c r="N187" s="151"/>
      <c r="O187" s="151"/>
      <c r="P187" s="151"/>
      <c r="Q187" s="151"/>
      <c r="R187" s="151"/>
      <c r="S187" s="151"/>
      <c r="T187" s="151"/>
    </row>
    <row r="188" spans="1:20" ht="15">
      <c r="A188" s="151"/>
      <c r="B188" s="151"/>
      <c r="C188" s="151"/>
      <c r="D188" s="151"/>
      <c r="E188" s="151"/>
      <c r="F188" s="151"/>
      <c r="G188" s="151"/>
      <c r="H188" s="151"/>
      <c r="I188" s="151"/>
      <c r="J188" s="151"/>
      <c r="K188" s="151"/>
      <c r="L188" s="151"/>
      <c r="M188" s="151"/>
      <c r="N188" s="151"/>
      <c r="O188" s="151"/>
      <c r="P188" s="151"/>
      <c r="Q188" s="151"/>
      <c r="R188" s="151"/>
      <c r="S188" s="151"/>
      <c r="T188" s="151"/>
    </row>
    <row r="189" spans="1:20" ht="15">
      <c r="A189" s="151"/>
      <c r="B189" s="151"/>
      <c r="C189" s="151"/>
      <c r="D189" s="151"/>
      <c r="E189" s="151"/>
      <c r="F189" s="151"/>
      <c r="G189" s="151"/>
      <c r="H189" s="151"/>
      <c r="I189" s="151"/>
      <c r="J189" s="151"/>
      <c r="K189" s="151"/>
      <c r="L189" s="151"/>
      <c r="M189" s="151"/>
      <c r="N189" s="151"/>
      <c r="O189" s="151"/>
      <c r="P189" s="151"/>
      <c r="Q189" s="151"/>
      <c r="R189" s="151"/>
      <c r="S189" s="151"/>
      <c r="T189" s="151"/>
    </row>
    <row r="190" spans="1:20" ht="15">
      <c r="A190" s="151"/>
      <c r="B190" s="151"/>
      <c r="C190" s="151"/>
      <c r="D190" s="151"/>
      <c r="E190" s="151"/>
      <c r="F190" s="151"/>
      <c r="G190" s="151"/>
      <c r="H190" s="151"/>
      <c r="I190" s="151"/>
      <c r="J190" s="151"/>
      <c r="K190" s="151"/>
      <c r="L190" s="151"/>
      <c r="M190" s="151"/>
      <c r="N190" s="151"/>
      <c r="O190" s="151"/>
      <c r="P190" s="151"/>
      <c r="Q190" s="151"/>
      <c r="R190" s="151"/>
      <c r="S190" s="151"/>
      <c r="T190" s="151"/>
    </row>
    <row r="191" spans="1:20" ht="15">
      <c r="A191" s="151"/>
      <c r="B191" s="151"/>
      <c r="C191" s="151"/>
      <c r="D191" s="151"/>
      <c r="E191" s="151"/>
      <c r="F191" s="151"/>
      <c r="G191" s="151"/>
      <c r="H191" s="151"/>
      <c r="I191" s="151"/>
      <c r="J191" s="151"/>
      <c r="K191" s="151"/>
      <c r="L191" s="151"/>
      <c r="M191" s="151"/>
      <c r="N191" s="151"/>
      <c r="O191" s="151"/>
      <c r="P191" s="151"/>
      <c r="Q191" s="151"/>
      <c r="R191" s="151"/>
      <c r="S191" s="151"/>
      <c r="T191" s="151"/>
    </row>
    <row r="192" spans="1:20" ht="15">
      <c r="A192" s="151"/>
      <c r="B192" s="151"/>
      <c r="C192" s="151"/>
      <c r="D192" s="151"/>
      <c r="E192" s="151"/>
      <c r="F192" s="151"/>
      <c r="G192" s="151"/>
      <c r="H192" s="151"/>
      <c r="I192" s="151"/>
      <c r="J192" s="151"/>
      <c r="K192" s="151"/>
      <c r="L192" s="151"/>
      <c r="M192" s="151"/>
      <c r="N192" s="151"/>
      <c r="O192" s="151"/>
      <c r="P192" s="151"/>
      <c r="Q192" s="151"/>
      <c r="R192" s="151"/>
      <c r="S192" s="151"/>
      <c r="T192" s="151"/>
    </row>
    <row r="193" spans="1:20" ht="15">
      <c r="A193" s="151"/>
      <c r="B193" s="151"/>
      <c r="C193" s="151"/>
      <c r="D193" s="151"/>
      <c r="E193" s="151"/>
      <c r="F193" s="151"/>
      <c r="G193" s="151"/>
      <c r="H193" s="151"/>
      <c r="I193" s="151"/>
      <c r="J193" s="151"/>
      <c r="K193" s="151"/>
      <c r="L193" s="151"/>
      <c r="M193" s="151"/>
      <c r="N193" s="151"/>
      <c r="O193" s="151"/>
      <c r="P193" s="151"/>
      <c r="Q193" s="151"/>
      <c r="R193" s="151"/>
      <c r="S193" s="151"/>
      <c r="T193" s="151"/>
    </row>
    <row r="194" spans="1:20" ht="15">
      <c r="A194" s="151"/>
      <c r="B194" s="151"/>
      <c r="C194" s="151"/>
      <c r="D194" s="151"/>
      <c r="E194" s="151"/>
      <c r="F194" s="151"/>
      <c r="G194" s="151"/>
      <c r="H194" s="151"/>
      <c r="I194" s="151"/>
      <c r="J194" s="151"/>
      <c r="K194" s="151"/>
      <c r="L194" s="151"/>
      <c r="M194" s="151"/>
      <c r="N194" s="151"/>
      <c r="O194" s="151"/>
      <c r="P194" s="151"/>
      <c r="Q194" s="151"/>
      <c r="R194" s="151"/>
      <c r="S194" s="151"/>
      <c r="T194" s="151"/>
    </row>
    <row r="195" spans="1:20" ht="15">
      <c r="A195" s="151"/>
      <c r="B195" s="151"/>
      <c r="C195" s="151"/>
      <c r="D195" s="151"/>
      <c r="E195" s="151"/>
      <c r="F195" s="151"/>
      <c r="G195" s="151"/>
      <c r="H195" s="151"/>
      <c r="I195" s="151"/>
      <c r="J195" s="151"/>
      <c r="K195" s="151"/>
      <c r="L195" s="151"/>
      <c r="M195" s="151"/>
      <c r="N195" s="151"/>
      <c r="O195" s="151"/>
      <c r="P195" s="151"/>
      <c r="Q195" s="151"/>
      <c r="R195" s="151"/>
      <c r="S195" s="151"/>
      <c r="T195" s="151"/>
    </row>
    <row r="196" spans="1:20" ht="15">
      <c r="A196" s="151"/>
      <c r="B196" s="151"/>
      <c r="C196" s="151"/>
      <c r="D196" s="151"/>
      <c r="E196" s="151"/>
      <c r="F196" s="151"/>
      <c r="G196" s="151"/>
      <c r="H196" s="151"/>
      <c r="I196" s="151"/>
      <c r="J196" s="151"/>
      <c r="K196" s="151"/>
      <c r="L196" s="151"/>
      <c r="M196" s="151"/>
      <c r="N196" s="151"/>
      <c r="O196" s="151"/>
      <c r="P196" s="151"/>
      <c r="Q196" s="151"/>
      <c r="R196" s="151"/>
      <c r="S196" s="151"/>
      <c r="T196" s="151"/>
    </row>
    <row r="197" spans="1:20" ht="15">
      <c r="A197" s="151"/>
      <c r="B197" s="151"/>
      <c r="C197" s="151"/>
      <c r="D197" s="151"/>
      <c r="E197" s="151"/>
      <c r="F197" s="151"/>
      <c r="G197" s="151"/>
      <c r="H197" s="151"/>
      <c r="I197" s="151"/>
      <c r="J197" s="151"/>
      <c r="K197" s="151"/>
      <c r="L197" s="151"/>
      <c r="M197" s="151"/>
      <c r="N197" s="151"/>
      <c r="O197" s="151"/>
      <c r="P197" s="151"/>
      <c r="Q197" s="151"/>
      <c r="R197" s="151"/>
      <c r="S197" s="151"/>
      <c r="T197" s="151"/>
    </row>
    <row r="198" spans="1:20" ht="15">
      <c r="A198" s="151"/>
      <c r="B198" s="151"/>
      <c r="C198" s="151"/>
      <c r="D198" s="151"/>
      <c r="E198" s="151"/>
      <c r="F198" s="151"/>
      <c r="G198" s="151"/>
      <c r="H198" s="151"/>
      <c r="I198" s="151"/>
      <c r="J198" s="151"/>
      <c r="K198" s="151"/>
      <c r="L198" s="151"/>
      <c r="M198" s="151"/>
      <c r="N198" s="151"/>
      <c r="O198" s="151"/>
      <c r="P198" s="151"/>
      <c r="Q198" s="151"/>
      <c r="R198" s="151"/>
      <c r="S198" s="151"/>
      <c r="T198" s="151"/>
    </row>
    <row r="199" spans="1:20" ht="15">
      <c r="A199" s="151"/>
      <c r="B199" s="151"/>
      <c r="C199" s="151"/>
      <c r="D199" s="151"/>
      <c r="E199" s="151"/>
      <c r="F199" s="151"/>
      <c r="G199" s="151"/>
      <c r="H199" s="151"/>
      <c r="I199" s="151"/>
      <c r="J199" s="151"/>
      <c r="K199" s="151"/>
      <c r="L199" s="151"/>
      <c r="M199" s="151"/>
      <c r="N199" s="151"/>
      <c r="O199" s="151"/>
      <c r="P199" s="151"/>
      <c r="Q199" s="151"/>
      <c r="R199" s="151"/>
      <c r="S199" s="151"/>
      <c r="T199" s="151"/>
    </row>
    <row r="200" spans="1:20" ht="15">
      <c r="A200" s="151"/>
      <c r="B200" s="151"/>
      <c r="C200" s="151"/>
      <c r="D200" s="151"/>
      <c r="E200" s="151"/>
      <c r="F200" s="151"/>
      <c r="G200" s="151"/>
      <c r="H200" s="151"/>
      <c r="I200" s="151"/>
      <c r="J200" s="151"/>
      <c r="K200" s="151"/>
      <c r="L200" s="151"/>
      <c r="M200" s="151"/>
      <c r="N200" s="151"/>
      <c r="O200" s="151"/>
      <c r="P200" s="151"/>
      <c r="Q200" s="151"/>
      <c r="R200" s="151"/>
      <c r="S200" s="151"/>
      <c r="T200" s="151"/>
    </row>
    <row r="201" spans="1:20" ht="15">
      <c r="A201" s="151"/>
      <c r="B201" s="151"/>
      <c r="C201" s="151"/>
      <c r="D201" s="151"/>
      <c r="E201" s="151"/>
      <c r="F201" s="151"/>
      <c r="G201" s="151"/>
      <c r="H201" s="151"/>
      <c r="I201" s="151"/>
      <c r="J201" s="151"/>
      <c r="K201" s="151"/>
      <c r="L201" s="151"/>
      <c r="M201" s="151"/>
      <c r="N201" s="151"/>
      <c r="O201" s="151"/>
      <c r="P201" s="151"/>
      <c r="Q201" s="151"/>
      <c r="R201" s="151"/>
      <c r="S201" s="151"/>
      <c r="T201" s="151"/>
    </row>
    <row r="202" spans="1:20" ht="15">
      <c r="A202" s="151"/>
      <c r="B202" s="151"/>
      <c r="C202" s="151"/>
      <c r="D202" s="151"/>
      <c r="E202" s="151"/>
      <c r="F202" s="151"/>
      <c r="G202" s="151"/>
      <c r="H202" s="151"/>
      <c r="I202" s="151"/>
      <c r="J202" s="151"/>
      <c r="K202" s="151"/>
      <c r="L202" s="151"/>
      <c r="M202" s="151"/>
      <c r="N202" s="151"/>
      <c r="O202" s="151"/>
      <c r="P202" s="151"/>
      <c r="Q202" s="151"/>
      <c r="R202" s="151"/>
      <c r="S202" s="151"/>
      <c r="T202" s="151"/>
    </row>
    <row r="203" spans="1:20" ht="15">
      <c r="A203" s="151"/>
      <c r="B203" s="151"/>
      <c r="C203" s="151"/>
      <c r="D203" s="151"/>
      <c r="E203" s="151"/>
      <c r="F203" s="151"/>
      <c r="G203" s="151"/>
      <c r="H203" s="151"/>
      <c r="I203" s="151"/>
      <c r="J203" s="151"/>
      <c r="K203" s="151"/>
      <c r="L203" s="151"/>
      <c r="M203" s="151"/>
      <c r="N203" s="151"/>
      <c r="O203" s="151"/>
      <c r="P203" s="151"/>
      <c r="Q203" s="151"/>
      <c r="R203" s="151"/>
      <c r="S203" s="151"/>
      <c r="T203" s="151"/>
    </row>
    <row r="204" spans="1:20" ht="15">
      <c r="A204" s="151"/>
      <c r="B204" s="151"/>
      <c r="C204" s="151"/>
      <c r="D204" s="151"/>
      <c r="E204" s="151"/>
      <c r="F204" s="151"/>
      <c r="G204" s="151"/>
      <c r="H204" s="151"/>
      <c r="I204" s="151"/>
      <c r="J204" s="151"/>
      <c r="K204" s="151"/>
      <c r="L204" s="151"/>
      <c r="M204" s="151"/>
      <c r="N204" s="151"/>
      <c r="O204" s="151"/>
      <c r="P204" s="151"/>
      <c r="Q204" s="151"/>
      <c r="R204" s="151"/>
      <c r="S204" s="151"/>
      <c r="T204" s="151"/>
    </row>
    <row r="205" spans="1:20" ht="15">
      <c r="A205" s="151"/>
      <c r="B205" s="151"/>
      <c r="C205" s="151"/>
      <c r="D205" s="151"/>
      <c r="E205" s="151"/>
      <c r="F205" s="151"/>
      <c r="G205" s="151"/>
      <c r="H205" s="151"/>
      <c r="I205" s="151"/>
      <c r="J205" s="151"/>
      <c r="K205" s="151"/>
      <c r="L205" s="151"/>
      <c r="M205" s="151"/>
      <c r="N205" s="151"/>
      <c r="O205" s="151"/>
      <c r="P205" s="151"/>
      <c r="Q205" s="151"/>
      <c r="R205" s="151"/>
      <c r="S205" s="151"/>
      <c r="T205" s="151"/>
    </row>
    <row r="206" spans="1:20" ht="15">
      <c r="A206" s="151"/>
      <c r="B206" s="151"/>
      <c r="C206" s="151"/>
      <c r="D206" s="151"/>
      <c r="E206" s="151"/>
      <c r="F206" s="151"/>
      <c r="G206" s="151"/>
      <c r="H206" s="151"/>
      <c r="I206" s="151"/>
      <c r="J206" s="151"/>
      <c r="K206" s="151"/>
      <c r="L206" s="151"/>
      <c r="M206" s="151"/>
      <c r="N206" s="151"/>
      <c r="O206" s="151"/>
      <c r="P206" s="151"/>
      <c r="Q206" s="151"/>
      <c r="R206" s="151"/>
      <c r="S206" s="151"/>
      <c r="T206" s="151"/>
    </row>
    <row r="207" spans="1:20" ht="15">
      <c r="A207" s="151"/>
      <c r="B207" s="151"/>
      <c r="C207" s="151"/>
      <c r="D207" s="151"/>
      <c r="E207" s="151"/>
      <c r="F207" s="151"/>
      <c r="G207" s="151"/>
      <c r="H207" s="151"/>
      <c r="I207" s="151"/>
      <c r="J207" s="151"/>
      <c r="K207" s="151"/>
      <c r="L207" s="151"/>
      <c r="M207" s="151"/>
      <c r="N207" s="151"/>
      <c r="O207" s="151"/>
      <c r="P207" s="151"/>
      <c r="Q207" s="151"/>
      <c r="R207" s="151"/>
      <c r="S207" s="151"/>
      <c r="T207" s="151"/>
    </row>
    <row r="208" spans="1:20" ht="15">
      <c r="A208" s="151"/>
      <c r="B208" s="151"/>
      <c r="C208" s="151"/>
      <c r="D208" s="151"/>
      <c r="E208" s="151"/>
      <c r="F208" s="151"/>
      <c r="G208" s="151"/>
      <c r="H208" s="151"/>
      <c r="I208" s="151"/>
      <c r="J208" s="151"/>
      <c r="K208" s="151"/>
      <c r="L208" s="151"/>
      <c r="M208" s="151"/>
      <c r="N208" s="151"/>
      <c r="O208" s="151"/>
      <c r="P208" s="151"/>
      <c r="Q208" s="151"/>
      <c r="R208" s="151"/>
      <c r="S208" s="151"/>
      <c r="T208" s="151"/>
    </row>
    <row r="209" spans="1:20" ht="15">
      <c r="A209" s="151"/>
      <c r="B209" s="151"/>
      <c r="C209" s="151"/>
      <c r="D209" s="151"/>
      <c r="E209" s="151"/>
      <c r="F209" s="151"/>
      <c r="G209" s="151"/>
      <c r="H209" s="151"/>
      <c r="I209" s="151"/>
      <c r="J209" s="151"/>
      <c r="K209" s="151"/>
      <c r="L209" s="151"/>
      <c r="M209" s="151"/>
      <c r="N209" s="151"/>
      <c r="O209" s="151"/>
      <c r="P209" s="151"/>
      <c r="Q209" s="151"/>
      <c r="R209" s="151"/>
      <c r="S209" s="151"/>
      <c r="T209" s="151"/>
    </row>
    <row r="210" spans="1:20" ht="15">
      <c r="A210" s="151"/>
      <c r="B210" s="151"/>
      <c r="C210" s="151"/>
      <c r="D210" s="151"/>
      <c r="E210" s="151"/>
      <c r="F210" s="151"/>
      <c r="G210" s="151"/>
      <c r="H210" s="151"/>
      <c r="I210" s="151"/>
      <c r="J210" s="151"/>
      <c r="K210" s="151"/>
      <c r="L210" s="151"/>
      <c r="M210" s="151"/>
      <c r="N210" s="151"/>
      <c r="O210" s="151"/>
      <c r="P210" s="151"/>
      <c r="Q210" s="151"/>
      <c r="R210" s="151"/>
      <c r="S210" s="151"/>
      <c r="T210" s="151"/>
    </row>
    <row r="211" spans="1:20" ht="15">
      <c r="A211" s="151"/>
      <c r="B211" s="151"/>
      <c r="C211" s="151"/>
      <c r="D211" s="151"/>
      <c r="E211" s="151"/>
      <c r="F211" s="151"/>
      <c r="G211" s="151"/>
      <c r="H211" s="151"/>
      <c r="I211" s="151"/>
      <c r="J211" s="151"/>
      <c r="K211" s="151"/>
      <c r="L211" s="151"/>
      <c r="M211" s="151"/>
      <c r="N211" s="151"/>
      <c r="O211" s="151"/>
      <c r="P211" s="151"/>
      <c r="Q211" s="151"/>
      <c r="R211" s="151"/>
      <c r="S211" s="151"/>
      <c r="T211" s="151"/>
    </row>
    <row r="212" spans="1:20" ht="15">
      <c r="A212" s="151"/>
      <c r="B212" s="151"/>
      <c r="C212" s="151"/>
      <c r="D212" s="151"/>
      <c r="E212" s="151"/>
      <c r="F212" s="151"/>
      <c r="G212" s="151"/>
      <c r="H212" s="151"/>
      <c r="I212" s="151"/>
      <c r="J212" s="151"/>
      <c r="K212" s="151"/>
      <c r="L212" s="151"/>
      <c r="M212" s="151"/>
      <c r="N212" s="151"/>
      <c r="O212" s="151"/>
      <c r="P212" s="151"/>
      <c r="Q212" s="151"/>
      <c r="R212" s="151"/>
      <c r="S212" s="151"/>
      <c r="T212" s="151"/>
    </row>
    <row r="213" spans="1:20" ht="15">
      <c r="A213" s="151"/>
      <c r="B213" s="151"/>
      <c r="C213" s="151"/>
      <c r="D213" s="151"/>
      <c r="E213" s="151"/>
      <c r="F213" s="151"/>
      <c r="G213" s="151"/>
      <c r="H213" s="151"/>
      <c r="I213" s="151"/>
      <c r="J213" s="151"/>
      <c r="K213" s="151"/>
      <c r="L213" s="151"/>
      <c r="M213" s="151"/>
      <c r="N213" s="151"/>
      <c r="O213" s="151"/>
      <c r="P213" s="151"/>
      <c r="Q213" s="151"/>
      <c r="R213" s="151"/>
      <c r="S213" s="151"/>
      <c r="T213" s="151"/>
    </row>
    <row r="214" spans="1:20" ht="15">
      <c r="A214" s="151"/>
      <c r="B214" s="151"/>
      <c r="C214" s="151"/>
      <c r="D214" s="151"/>
      <c r="E214" s="151"/>
      <c r="F214" s="151"/>
      <c r="G214" s="151"/>
      <c r="H214" s="151"/>
      <c r="I214" s="151"/>
      <c r="J214" s="151"/>
      <c r="K214" s="151"/>
      <c r="L214" s="151"/>
      <c r="M214" s="151"/>
      <c r="N214" s="151"/>
      <c r="O214" s="151"/>
      <c r="P214" s="151"/>
      <c r="Q214" s="151"/>
      <c r="R214" s="151"/>
      <c r="S214" s="151"/>
      <c r="T214" s="151"/>
    </row>
    <row r="215" spans="1:20" ht="15">
      <c r="A215" s="151"/>
      <c r="B215" s="151"/>
      <c r="C215" s="151"/>
      <c r="D215" s="151"/>
      <c r="E215" s="151"/>
      <c r="F215" s="151"/>
      <c r="G215" s="151"/>
      <c r="H215" s="151"/>
      <c r="I215" s="151"/>
      <c r="J215" s="151"/>
      <c r="K215" s="151"/>
      <c r="L215" s="151"/>
      <c r="M215" s="151"/>
      <c r="N215" s="151"/>
      <c r="O215" s="151"/>
      <c r="P215" s="151"/>
      <c r="Q215" s="151"/>
      <c r="R215" s="151"/>
      <c r="S215" s="151"/>
      <c r="T215" s="151"/>
    </row>
    <row r="216" spans="1:20" ht="15">
      <c r="A216" s="151"/>
      <c r="B216" s="151"/>
      <c r="C216" s="151"/>
      <c r="D216" s="151"/>
      <c r="E216" s="151"/>
      <c r="F216" s="151"/>
      <c r="G216" s="151"/>
      <c r="H216" s="151"/>
      <c r="I216" s="151"/>
      <c r="J216" s="151"/>
      <c r="K216" s="151"/>
      <c r="L216" s="151"/>
      <c r="M216" s="151"/>
      <c r="N216" s="151"/>
      <c r="O216" s="151"/>
      <c r="P216" s="151"/>
      <c r="Q216" s="151"/>
      <c r="R216" s="151"/>
      <c r="S216" s="151"/>
      <c r="T216" s="151"/>
    </row>
    <row r="217" spans="1:20" ht="15">
      <c r="A217" s="151"/>
      <c r="B217" s="151"/>
      <c r="C217" s="151"/>
      <c r="D217" s="151"/>
      <c r="E217" s="151"/>
      <c r="F217" s="151"/>
      <c r="G217" s="151"/>
      <c r="H217" s="151"/>
      <c r="I217" s="151"/>
      <c r="J217" s="151"/>
      <c r="K217" s="151"/>
      <c r="L217" s="151"/>
      <c r="M217" s="151"/>
      <c r="N217" s="151"/>
      <c r="O217" s="151"/>
      <c r="P217" s="151"/>
      <c r="Q217" s="151"/>
      <c r="R217" s="151"/>
      <c r="S217" s="151"/>
      <c r="T217" s="151"/>
    </row>
    <row r="218" spans="1:20" ht="15">
      <c r="A218" s="151"/>
      <c r="B218" s="151"/>
      <c r="C218" s="151"/>
      <c r="D218" s="151"/>
      <c r="E218" s="151"/>
      <c r="F218" s="151"/>
      <c r="G218" s="151"/>
      <c r="H218" s="151"/>
      <c r="I218" s="151"/>
      <c r="J218" s="151"/>
      <c r="K218" s="151"/>
      <c r="L218" s="151"/>
      <c r="M218" s="151"/>
      <c r="N218" s="151"/>
      <c r="O218" s="151"/>
      <c r="P218" s="151"/>
      <c r="Q218" s="151"/>
      <c r="R218" s="151"/>
      <c r="S218" s="151"/>
      <c r="T218" s="151"/>
    </row>
    <row r="219" spans="1:20" ht="15">
      <c r="A219" s="151"/>
      <c r="B219" s="151"/>
      <c r="C219" s="151"/>
      <c r="D219" s="151"/>
      <c r="E219" s="151"/>
      <c r="F219" s="151"/>
      <c r="G219" s="151"/>
      <c r="H219" s="151"/>
      <c r="I219" s="151"/>
      <c r="J219" s="151"/>
      <c r="K219" s="151"/>
      <c r="L219" s="151"/>
      <c r="M219" s="151"/>
      <c r="N219" s="151"/>
      <c r="O219" s="151"/>
      <c r="P219" s="151"/>
      <c r="Q219" s="151"/>
      <c r="R219" s="151"/>
      <c r="S219" s="151"/>
      <c r="T219" s="151"/>
    </row>
    <row r="220" spans="1:20" ht="15">
      <c r="A220" s="151"/>
      <c r="B220" s="151"/>
      <c r="C220" s="151"/>
      <c r="D220" s="151"/>
      <c r="E220" s="151"/>
      <c r="F220" s="151"/>
      <c r="G220" s="151"/>
      <c r="H220" s="151"/>
      <c r="I220" s="151"/>
      <c r="J220" s="151"/>
      <c r="K220" s="151"/>
      <c r="L220" s="151"/>
      <c r="M220" s="151"/>
      <c r="N220" s="151"/>
      <c r="O220" s="151"/>
      <c r="P220" s="151"/>
      <c r="Q220" s="151"/>
      <c r="R220" s="151"/>
      <c r="S220" s="151"/>
      <c r="T220" s="151"/>
    </row>
    <row r="221" spans="1:20" ht="15">
      <c r="A221" s="151"/>
      <c r="B221" s="151"/>
      <c r="C221" s="151"/>
      <c r="D221" s="151"/>
      <c r="E221" s="151"/>
      <c r="F221" s="151"/>
      <c r="G221" s="151"/>
      <c r="H221" s="151"/>
      <c r="I221" s="151"/>
      <c r="J221" s="151"/>
      <c r="K221" s="151"/>
      <c r="L221" s="151"/>
      <c r="M221" s="151"/>
      <c r="N221" s="151"/>
      <c r="O221" s="151"/>
      <c r="P221" s="151"/>
      <c r="Q221" s="151"/>
      <c r="R221" s="151"/>
      <c r="S221" s="151"/>
      <c r="T221" s="151"/>
    </row>
    <row r="222" spans="1:20" ht="15">
      <c r="A222" s="151"/>
      <c r="B222" s="151"/>
      <c r="C222" s="151"/>
      <c r="D222" s="151"/>
      <c r="E222" s="151"/>
      <c r="F222" s="151"/>
      <c r="G222" s="151"/>
      <c r="H222" s="151"/>
      <c r="I222" s="151"/>
      <c r="J222" s="151"/>
      <c r="K222" s="151"/>
      <c r="L222" s="151"/>
      <c r="M222" s="151"/>
      <c r="N222" s="151"/>
      <c r="O222" s="151"/>
      <c r="P222" s="151"/>
      <c r="Q222" s="151"/>
      <c r="R222" s="151"/>
      <c r="S222" s="151"/>
      <c r="T222" s="151"/>
    </row>
    <row r="223" spans="1:20" ht="15">
      <c r="A223" s="151"/>
      <c r="B223" s="151"/>
      <c r="C223" s="151"/>
      <c r="D223" s="151"/>
      <c r="E223" s="151"/>
      <c r="F223" s="151"/>
      <c r="G223" s="151"/>
      <c r="H223" s="151"/>
      <c r="I223" s="151"/>
      <c r="J223" s="151"/>
      <c r="K223" s="151"/>
      <c r="L223" s="151"/>
      <c r="M223" s="151"/>
      <c r="N223" s="151"/>
      <c r="O223" s="151"/>
      <c r="P223" s="151"/>
      <c r="Q223" s="151"/>
      <c r="R223" s="151"/>
      <c r="S223" s="151"/>
      <c r="T223" s="151"/>
    </row>
    <row r="224" spans="1:20" ht="15">
      <c r="A224" s="151"/>
      <c r="B224" s="151"/>
      <c r="C224" s="151"/>
      <c r="D224" s="151"/>
      <c r="E224" s="151"/>
      <c r="F224" s="151"/>
      <c r="G224" s="151"/>
      <c r="H224" s="151"/>
      <c r="I224" s="151"/>
      <c r="J224" s="151"/>
      <c r="K224" s="151"/>
      <c r="L224" s="151"/>
      <c r="M224" s="151"/>
      <c r="N224" s="151"/>
      <c r="O224" s="151"/>
      <c r="P224" s="151"/>
      <c r="Q224" s="151"/>
      <c r="R224" s="151"/>
      <c r="S224" s="151"/>
      <c r="T224" s="151"/>
    </row>
    <row r="225" spans="1:20" ht="15">
      <c r="A225" s="151"/>
      <c r="B225" s="151"/>
      <c r="C225" s="151"/>
      <c r="D225" s="151"/>
      <c r="E225" s="151"/>
      <c r="F225" s="151"/>
      <c r="G225" s="151"/>
      <c r="H225" s="151"/>
      <c r="I225" s="151"/>
      <c r="J225" s="151"/>
      <c r="K225" s="151"/>
      <c r="L225" s="151"/>
      <c r="M225" s="151"/>
      <c r="N225" s="151"/>
      <c r="O225" s="151"/>
      <c r="P225" s="151"/>
      <c r="Q225" s="151"/>
      <c r="R225" s="151"/>
      <c r="S225" s="151"/>
      <c r="T225" s="151"/>
    </row>
    <row r="226" spans="1:20" ht="15">
      <c r="A226" s="151"/>
      <c r="B226" s="151"/>
      <c r="C226" s="151"/>
      <c r="D226" s="151"/>
      <c r="E226" s="151"/>
      <c r="F226" s="151"/>
      <c r="G226" s="151"/>
      <c r="H226" s="151"/>
      <c r="I226" s="151"/>
      <c r="J226" s="151"/>
      <c r="K226" s="151"/>
      <c r="L226" s="151"/>
      <c r="M226" s="151"/>
      <c r="N226" s="151"/>
      <c r="O226" s="151"/>
      <c r="P226" s="151"/>
      <c r="Q226" s="151"/>
      <c r="R226" s="151"/>
      <c r="S226" s="151"/>
      <c r="T226" s="151"/>
    </row>
    <row r="227" spans="1:20" ht="15">
      <c r="A227" s="151"/>
      <c r="B227" s="151"/>
      <c r="C227" s="151"/>
      <c r="D227" s="151"/>
      <c r="E227" s="151"/>
      <c r="F227" s="151"/>
      <c r="G227" s="151"/>
      <c r="H227" s="151"/>
      <c r="I227" s="151"/>
      <c r="J227" s="151"/>
      <c r="K227" s="151"/>
      <c r="L227" s="151"/>
      <c r="M227" s="151"/>
      <c r="N227" s="151"/>
      <c r="O227" s="151"/>
      <c r="P227" s="151"/>
      <c r="Q227" s="151"/>
      <c r="R227" s="151"/>
      <c r="S227" s="151"/>
      <c r="T227" s="151"/>
    </row>
    <row r="228" spans="1:20" ht="15">
      <c r="A228" s="151"/>
      <c r="B228" s="151"/>
      <c r="C228" s="151"/>
      <c r="D228" s="151"/>
      <c r="E228" s="151"/>
      <c r="F228" s="151"/>
      <c r="G228" s="151"/>
      <c r="H228" s="151"/>
      <c r="I228" s="151"/>
      <c r="J228" s="151"/>
      <c r="K228" s="151"/>
      <c r="L228" s="151"/>
      <c r="M228" s="151"/>
      <c r="N228" s="151"/>
      <c r="O228" s="151"/>
      <c r="P228" s="151"/>
      <c r="Q228" s="151"/>
      <c r="R228" s="151"/>
      <c r="S228" s="151"/>
      <c r="T228" s="151"/>
    </row>
    <row r="229" spans="1:20" ht="15">
      <c r="A229" s="151"/>
      <c r="B229" s="151"/>
      <c r="C229" s="151"/>
      <c r="D229" s="151"/>
      <c r="E229" s="151"/>
      <c r="F229" s="151"/>
      <c r="G229" s="151"/>
      <c r="H229" s="151"/>
      <c r="I229" s="151"/>
      <c r="J229" s="151"/>
      <c r="K229" s="151"/>
      <c r="L229" s="151"/>
      <c r="M229" s="151"/>
      <c r="N229" s="151"/>
      <c r="O229" s="151"/>
      <c r="P229" s="151"/>
      <c r="Q229" s="151"/>
      <c r="R229" s="151"/>
      <c r="S229" s="151"/>
      <c r="T229" s="151"/>
    </row>
    <row r="230" spans="1:20" ht="15">
      <c r="A230" s="151"/>
      <c r="B230" s="151"/>
      <c r="C230" s="151"/>
      <c r="D230" s="151"/>
      <c r="E230" s="151"/>
      <c r="F230" s="151"/>
      <c r="G230" s="151"/>
      <c r="H230" s="151"/>
      <c r="I230" s="151"/>
      <c r="J230" s="151"/>
      <c r="K230" s="151"/>
      <c r="L230" s="151"/>
      <c r="M230" s="151"/>
      <c r="N230" s="151"/>
      <c r="O230" s="151"/>
      <c r="P230" s="151"/>
      <c r="Q230" s="151"/>
      <c r="R230" s="151"/>
      <c r="S230" s="151"/>
      <c r="T230" s="151"/>
    </row>
    <row r="231" spans="1:20" ht="15">
      <c r="A231" s="151"/>
      <c r="B231" s="151"/>
      <c r="C231" s="151"/>
      <c r="D231" s="151"/>
      <c r="E231" s="151"/>
      <c r="F231" s="151"/>
      <c r="G231" s="151"/>
      <c r="H231" s="151"/>
      <c r="I231" s="151"/>
      <c r="J231" s="151"/>
      <c r="K231" s="151"/>
      <c r="L231" s="151"/>
      <c r="M231" s="151"/>
      <c r="N231" s="151"/>
      <c r="O231" s="151"/>
      <c r="P231" s="151"/>
      <c r="Q231" s="151"/>
      <c r="R231" s="151"/>
      <c r="S231" s="151"/>
      <c r="T231" s="151"/>
    </row>
    <row r="232" spans="1:20" ht="15">
      <c r="A232" s="151"/>
      <c r="B232" s="151"/>
      <c r="C232" s="151"/>
      <c r="D232" s="151"/>
      <c r="E232" s="151"/>
      <c r="F232" s="151"/>
      <c r="G232" s="151"/>
      <c r="H232" s="151"/>
      <c r="I232" s="151"/>
      <c r="J232" s="151"/>
      <c r="K232" s="151"/>
      <c r="L232" s="151"/>
      <c r="M232" s="151"/>
      <c r="N232" s="151"/>
      <c r="O232" s="151"/>
      <c r="P232" s="151"/>
      <c r="Q232" s="151"/>
      <c r="R232" s="151"/>
      <c r="S232" s="151"/>
      <c r="T232" s="151"/>
    </row>
    <row r="233" spans="1:20" ht="15">
      <c r="A233" s="151"/>
      <c r="B233" s="151"/>
      <c r="C233" s="151"/>
      <c r="D233" s="151"/>
      <c r="E233" s="151"/>
      <c r="F233" s="151"/>
      <c r="G233" s="151"/>
      <c r="H233" s="151"/>
      <c r="I233" s="151"/>
      <c r="J233" s="151"/>
      <c r="K233" s="151"/>
      <c r="L233" s="151"/>
      <c r="M233" s="151"/>
      <c r="N233" s="151"/>
      <c r="O233" s="151"/>
      <c r="P233" s="151"/>
      <c r="Q233" s="151"/>
      <c r="R233" s="151"/>
      <c r="S233" s="151"/>
      <c r="T233" s="151"/>
    </row>
    <row r="234" spans="1:20" ht="15">
      <c r="A234" s="151"/>
      <c r="B234" s="151"/>
      <c r="C234" s="151"/>
      <c r="D234" s="151"/>
      <c r="E234" s="151"/>
      <c r="F234" s="151"/>
      <c r="G234" s="151"/>
      <c r="H234" s="151"/>
      <c r="I234" s="151"/>
      <c r="J234" s="151"/>
      <c r="K234" s="151"/>
      <c r="L234" s="151"/>
      <c r="M234" s="151"/>
      <c r="N234" s="151"/>
      <c r="O234" s="151"/>
      <c r="P234" s="151"/>
      <c r="Q234" s="151"/>
      <c r="R234" s="151"/>
      <c r="S234" s="151"/>
      <c r="T234" s="151"/>
    </row>
    <row r="235" spans="1:20" ht="15">
      <c r="A235" s="151"/>
      <c r="B235" s="151"/>
      <c r="C235" s="151"/>
      <c r="D235" s="151"/>
      <c r="E235" s="151"/>
      <c r="F235" s="151"/>
      <c r="G235" s="151"/>
      <c r="H235" s="151"/>
      <c r="I235" s="151"/>
      <c r="J235" s="151"/>
      <c r="K235" s="151"/>
      <c r="L235" s="151"/>
      <c r="M235" s="151"/>
      <c r="N235" s="151"/>
      <c r="O235" s="151"/>
      <c r="P235" s="151"/>
      <c r="Q235" s="151"/>
      <c r="R235" s="151"/>
      <c r="S235" s="151"/>
      <c r="T235" s="151"/>
    </row>
    <row r="236" spans="1:20" ht="15">
      <c r="A236" s="151"/>
      <c r="B236" s="151"/>
      <c r="C236" s="151"/>
      <c r="D236" s="151"/>
      <c r="E236" s="151"/>
      <c r="F236" s="151"/>
      <c r="G236" s="151"/>
      <c r="H236" s="151"/>
      <c r="I236" s="151"/>
      <c r="J236" s="151"/>
      <c r="K236" s="151"/>
      <c r="L236" s="151"/>
      <c r="M236" s="151"/>
      <c r="N236" s="151"/>
      <c r="O236" s="151"/>
      <c r="P236" s="151"/>
      <c r="Q236" s="151"/>
      <c r="R236" s="151"/>
      <c r="S236" s="151"/>
      <c r="T236" s="151"/>
    </row>
    <row r="237" spans="1:20" ht="15">
      <c r="A237" s="151"/>
      <c r="B237" s="151"/>
      <c r="C237" s="151"/>
      <c r="D237" s="151"/>
      <c r="E237" s="151"/>
      <c r="F237" s="151"/>
      <c r="G237" s="151"/>
      <c r="H237" s="151"/>
      <c r="I237" s="151"/>
      <c r="J237" s="151"/>
      <c r="K237" s="151"/>
      <c r="L237" s="151"/>
      <c r="M237" s="151"/>
      <c r="N237" s="151"/>
      <c r="O237" s="151"/>
      <c r="P237" s="151"/>
      <c r="Q237" s="151"/>
      <c r="R237" s="151"/>
      <c r="S237" s="151"/>
      <c r="T237" s="151"/>
    </row>
    <row r="238" spans="1:20" ht="15">
      <c r="A238" s="151"/>
      <c r="B238" s="151"/>
      <c r="C238" s="151"/>
      <c r="D238" s="151"/>
      <c r="E238" s="151"/>
      <c r="F238" s="151"/>
      <c r="G238" s="151"/>
      <c r="H238" s="151"/>
      <c r="I238" s="151"/>
      <c r="J238" s="151"/>
      <c r="K238" s="151"/>
      <c r="L238" s="151"/>
      <c r="M238" s="151"/>
      <c r="N238" s="151"/>
      <c r="O238" s="151"/>
      <c r="P238" s="151"/>
      <c r="Q238" s="151"/>
      <c r="R238" s="151"/>
      <c r="S238" s="151"/>
      <c r="T238" s="151"/>
    </row>
    <row r="239" spans="1:20" ht="15">
      <c r="A239" s="151"/>
      <c r="B239" s="151"/>
      <c r="C239" s="151"/>
      <c r="D239" s="151"/>
      <c r="E239" s="151"/>
      <c r="F239" s="151"/>
      <c r="G239" s="151"/>
      <c r="H239" s="151"/>
      <c r="I239" s="151"/>
      <c r="J239" s="151"/>
      <c r="K239" s="151"/>
      <c r="L239" s="151"/>
      <c r="M239" s="151"/>
      <c r="N239" s="151"/>
      <c r="O239" s="151"/>
      <c r="P239" s="151"/>
      <c r="Q239" s="151"/>
      <c r="R239" s="151"/>
      <c r="S239" s="151"/>
      <c r="T239" s="151"/>
    </row>
    <row r="240" spans="1:20" ht="15">
      <c r="A240" s="151"/>
      <c r="B240" s="151"/>
      <c r="C240" s="151"/>
      <c r="D240" s="151"/>
      <c r="E240" s="151"/>
      <c r="F240" s="151"/>
      <c r="G240" s="151"/>
      <c r="H240" s="151"/>
      <c r="I240" s="151"/>
      <c r="J240" s="151"/>
      <c r="K240" s="151"/>
      <c r="L240" s="151"/>
      <c r="M240" s="151"/>
      <c r="N240" s="151"/>
      <c r="O240" s="151"/>
      <c r="P240" s="151"/>
      <c r="Q240" s="151"/>
      <c r="R240" s="151"/>
      <c r="S240" s="151"/>
      <c r="T240" s="151"/>
    </row>
    <row r="241" spans="1:20" ht="15">
      <c r="A241" s="151"/>
      <c r="B241" s="151"/>
      <c r="C241" s="151"/>
      <c r="D241" s="151"/>
      <c r="E241" s="151"/>
      <c r="F241" s="151"/>
      <c r="G241" s="151"/>
      <c r="H241" s="151"/>
      <c r="I241" s="151"/>
      <c r="J241" s="151"/>
      <c r="K241" s="151"/>
      <c r="L241" s="151"/>
      <c r="M241" s="151"/>
      <c r="N241" s="151"/>
      <c r="O241" s="151"/>
      <c r="P241" s="151"/>
      <c r="Q241" s="151"/>
      <c r="R241" s="151"/>
      <c r="S241" s="151"/>
      <c r="T241" s="151"/>
    </row>
  </sheetData>
  <mergeCells count="53">
    <mergeCell ref="A1:G3"/>
    <mergeCell ref="A5:A34"/>
    <mergeCell ref="B5:B12"/>
    <mergeCell ref="C5:C6"/>
    <mergeCell ref="C7:C8"/>
    <mergeCell ref="C9:C10"/>
    <mergeCell ref="G9:G10"/>
    <mergeCell ref="C11:C12"/>
    <mergeCell ref="G11:G12"/>
    <mergeCell ref="B13:B23"/>
    <mergeCell ref="C13:C14"/>
    <mergeCell ref="G13:G18"/>
    <mergeCell ref="C15:C16"/>
    <mergeCell ref="C17:C18"/>
    <mergeCell ref="C19:C20"/>
    <mergeCell ref="G19:G20"/>
    <mergeCell ref="C22:C23"/>
    <mergeCell ref="G22:G23"/>
    <mergeCell ref="B24:B33"/>
    <mergeCell ref="C27:C28"/>
    <mergeCell ref="D27:D28"/>
    <mergeCell ref="G27:G28"/>
    <mergeCell ref="C29:C30"/>
    <mergeCell ref="D29:D30"/>
    <mergeCell ref="G29:G30"/>
    <mergeCell ref="C31:C32"/>
    <mergeCell ref="D31:D32"/>
    <mergeCell ref="G31:G32"/>
    <mergeCell ref="C33:D33"/>
    <mergeCell ref="B34:D34"/>
    <mergeCell ref="A35:A58"/>
    <mergeCell ref="B35:B43"/>
    <mergeCell ref="C35:C36"/>
    <mergeCell ref="C38:C39"/>
    <mergeCell ref="G35:G36"/>
    <mergeCell ref="G38:G39"/>
    <mergeCell ref="C40:C41"/>
    <mergeCell ref="C42:C43"/>
    <mergeCell ref="G42:G43"/>
    <mergeCell ref="A59:D60"/>
    <mergeCell ref="B45:B54"/>
    <mergeCell ref="G45:G47"/>
    <mergeCell ref="G50:G51"/>
    <mergeCell ref="B55:B57"/>
    <mergeCell ref="B58:D58"/>
    <mergeCell ref="A137:G140"/>
    <mergeCell ref="C168:E168"/>
    <mergeCell ref="C171:E171"/>
    <mergeCell ref="A63:G63"/>
    <mergeCell ref="C66:E66"/>
    <mergeCell ref="A89:G89"/>
    <mergeCell ref="A90:G93"/>
    <mergeCell ref="A115:G118"/>
  </mergeCells>
  <hyperlinks>
    <hyperlink ref="A115" r:id="rId1" xr:uid="{7C133E57-C301-412D-BE34-330ED9A70E3F}"/>
  </hyperlinks>
  <pageMargins left="0.7" right="0.7" top="0.75" bottom="0.75" header="0.3" footer="0.3"/>
  <pageSetup paperSize="9" scale="55" fitToHeight="0" orientation="portrait" r:id="rId2"/>
  <rowBreaks count="3" manualBreakCount="3">
    <brk id="34" max="16383" man="1"/>
    <brk id="54" max="6" man="1"/>
    <brk id="114" max="16383" man="1"/>
  </rowBreaks>
  <drawing r:id="rId3"/>
  <legacyDrawing r:id="rId4"/>
  <oleObjects>
    <mc:AlternateContent xmlns:mc="http://schemas.openxmlformats.org/markup-compatibility/2006">
      <mc:Choice Requires="x14">
        <oleObject progId="CorelDraw.Graphic.18" shapeId="22529" r:id="rId5">
          <objectPr defaultSize="0" autoPict="0" r:id="rId6">
            <anchor moveWithCells="1">
              <from>
                <xdr:col>0</xdr:col>
                <xdr:colOff>1076325</xdr:colOff>
                <xdr:row>0</xdr:row>
                <xdr:rowOff>133350</xdr:rowOff>
              </from>
              <to>
                <xdr:col>1</xdr:col>
                <xdr:colOff>800100</xdr:colOff>
                <xdr:row>2</xdr:row>
                <xdr:rowOff>304800</xdr:rowOff>
              </to>
            </anchor>
          </objectPr>
        </oleObject>
      </mc:Choice>
      <mc:Fallback>
        <oleObject progId="CorelDraw.Graphic.18" shapeId="22529" r:id="rId5"/>
      </mc:Fallback>
    </mc:AlternateContent>
  </oleObject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B02B59-4261-4862-96E9-799A0A4E670A}">
  <sheetPr>
    <tabColor theme="0" tint="-0.14999847407452621"/>
    <pageSetUpPr fitToPage="1"/>
  </sheetPr>
  <dimension ref="A1:Y41"/>
  <sheetViews>
    <sheetView view="pageBreakPreview" zoomScale="85" zoomScaleNormal="100" zoomScaleSheetLayoutView="85" workbookViewId="0">
      <selection activeCell="H6" sqref="H6"/>
    </sheetView>
  </sheetViews>
  <sheetFormatPr defaultRowHeight="14.25"/>
  <cols>
    <col min="1" max="1" width="8.25" bestFit="1" customWidth="1"/>
    <col min="2" max="2" width="21" customWidth="1"/>
    <col min="3" max="3" width="11.625" style="90" bestFit="1" customWidth="1"/>
    <col min="7" max="7" width="20.75" bestFit="1" customWidth="1"/>
    <col min="8" max="8" width="20.125" bestFit="1" customWidth="1"/>
    <col min="10" max="10" width="9" style="90"/>
    <col min="11" max="11" width="10.375" bestFit="1" customWidth="1"/>
    <col min="12" max="12" width="7" bestFit="1" customWidth="1"/>
    <col min="13" max="13" width="7.875" customWidth="1"/>
    <col min="14" max="14" width="10.5" bestFit="1" customWidth="1"/>
  </cols>
  <sheetData>
    <row r="1" spans="1:18" ht="69.75" customHeight="1" thickBot="1">
      <c r="A1" s="1337" t="s">
        <v>656</v>
      </c>
      <c r="B1" s="1338"/>
      <c r="C1" s="1338"/>
      <c r="D1" s="1338"/>
      <c r="E1" s="1338"/>
      <c r="F1" s="1338"/>
      <c r="G1" s="1338"/>
      <c r="H1" s="1338"/>
      <c r="I1" s="1338"/>
      <c r="J1" s="1338"/>
      <c r="K1" s="1338"/>
      <c r="L1" s="1338"/>
      <c r="M1" s="1338"/>
      <c r="N1" s="1339"/>
      <c r="O1" s="151"/>
      <c r="P1" s="151"/>
      <c r="Q1" s="151"/>
      <c r="R1" s="151"/>
    </row>
    <row r="2" spans="1:18" ht="75.75" thickBot="1">
      <c r="A2" s="369"/>
      <c r="B2" s="370" t="s">
        <v>97</v>
      </c>
      <c r="C2" s="370" t="s">
        <v>219</v>
      </c>
      <c r="D2" s="370" t="s">
        <v>217</v>
      </c>
      <c r="E2" s="370" t="s">
        <v>15</v>
      </c>
      <c r="F2" s="370" t="s">
        <v>218</v>
      </c>
      <c r="G2" s="370" t="s">
        <v>227</v>
      </c>
      <c r="H2" s="370" t="s">
        <v>228</v>
      </c>
      <c r="I2" s="370" t="s">
        <v>222</v>
      </c>
      <c r="J2" s="370" t="s">
        <v>226</v>
      </c>
      <c r="K2" s="370" t="s">
        <v>238</v>
      </c>
      <c r="L2" s="370" t="s">
        <v>231</v>
      </c>
      <c r="M2" s="371" t="s">
        <v>237</v>
      </c>
      <c r="N2" s="372" t="s">
        <v>232</v>
      </c>
      <c r="O2" s="151"/>
      <c r="P2" s="151"/>
      <c r="Q2" s="151"/>
      <c r="R2" s="151"/>
    </row>
    <row r="3" spans="1:18" ht="15">
      <c r="A3" s="1344" t="s">
        <v>214</v>
      </c>
      <c r="B3" s="467" t="s">
        <v>506</v>
      </c>
      <c r="C3" s="467" t="s">
        <v>220</v>
      </c>
      <c r="D3" s="467">
        <v>1</v>
      </c>
      <c r="E3" s="467">
        <v>1</v>
      </c>
      <c r="F3" s="468">
        <f>'COLETA URBANA'!E6</f>
        <v>1.61</v>
      </c>
      <c r="G3" s="469">
        <v>8.3333333333333329E-2</v>
      </c>
      <c r="H3" s="469">
        <f>G3+I3</f>
        <v>0.2013888888888889</v>
      </c>
      <c r="I3" s="469">
        <v>0.11805555555555557</v>
      </c>
      <c r="J3" s="468">
        <f>'COLETA URBANA'!F6</f>
        <v>17.809999999999999</v>
      </c>
      <c r="K3" s="467">
        <f>('COLETA URBANA'!I$6+'COLETA URBANA'!H$6)*2</f>
        <v>7.4</v>
      </c>
      <c r="L3" s="467">
        <f>J3/7</f>
        <v>2.544285714285714</v>
      </c>
      <c r="M3" s="467">
        <f>K3/25</f>
        <v>0.29600000000000004</v>
      </c>
      <c r="N3" s="470">
        <f>L3+M3</f>
        <v>2.8402857142857139</v>
      </c>
      <c r="O3" s="304"/>
      <c r="P3" s="304"/>
      <c r="Q3" s="151"/>
      <c r="R3" s="151"/>
    </row>
    <row r="4" spans="1:18" s="92" customFormat="1" ht="15">
      <c r="A4" s="1344"/>
      <c r="B4" s="467" t="s">
        <v>507</v>
      </c>
      <c r="C4" s="467" t="s">
        <v>220</v>
      </c>
      <c r="D4" s="467">
        <v>2</v>
      </c>
      <c r="E4" s="467">
        <v>2</v>
      </c>
      <c r="F4" s="468">
        <f>'COLETA URBANA'!E7</f>
        <v>1.59</v>
      </c>
      <c r="G4" s="469">
        <v>8.3333333333333329E-2</v>
      </c>
      <c r="H4" s="469">
        <f>G4+I4</f>
        <v>0.2013888888888889</v>
      </c>
      <c r="I4" s="469">
        <v>0.11805555555555557</v>
      </c>
      <c r="J4" s="468">
        <f>'COLETA URBANA'!F7</f>
        <v>17.690000000000001</v>
      </c>
      <c r="K4" s="467">
        <f>('COLETA URBANA'!I$6+'COLETA URBANA'!H$6)*2</f>
        <v>7.4</v>
      </c>
      <c r="L4" s="467">
        <f>J4/7</f>
        <v>2.5271428571428571</v>
      </c>
      <c r="M4" s="467">
        <f>K4/25</f>
        <v>0.29600000000000004</v>
      </c>
      <c r="N4" s="470">
        <f>L4+M4</f>
        <v>2.823142857142857</v>
      </c>
      <c r="O4" s="304"/>
      <c r="P4" s="304"/>
      <c r="Q4" s="151"/>
      <c r="R4" s="151"/>
    </row>
    <row r="5" spans="1:18" ht="15">
      <c r="A5" s="1341"/>
      <c r="B5" s="471" t="s">
        <v>509</v>
      </c>
      <c r="C5" s="471" t="s">
        <v>220</v>
      </c>
      <c r="D5" s="471">
        <v>1</v>
      </c>
      <c r="E5" s="471">
        <v>1</v>
      </c>
      <c r="F5" s="471">
        <f>'COLETA URBANA'!E$8</f>
        <v>2.35</v>
      </c>
      <c r="G5" s="472">
        <f>H3</f>
        <v>0.2013888888888889</v>
      </c>
      <c r="H5" s="472">
        <f>G5+I5</f>
        <v>0.375</v>
      </c>
      <c r="I5" s="472">
        <v>0.17361111111111113</v>
      </c>
      <c r="J5" s="468">
        <f>'COLETA URBANA'!F8</f>
        <v>26</v>
      </c>
      <c r="K5" s="471">
        <f>('COLETA URBANA'!H$8+'COLETA URBANA'!I$8)*2</f>
        <v>12</v>
      </c>
      <c r="L5" s="467">
        <f>J5/7</f>
        <v>3.7142857142857144</v>
      </c>
      <c r="M5" s="467">
        <f>K5/25</f>
        <v>0.48</v>
      </c>
      <c r="N5" s="470">
        <f>L5+M5</f>
        <v>4.194285714285714</v>
      </c>
      <c r="O5" s="304"/>
      <c r="P5" s="304"/>
      <c r="Q5" s="151"/>
      <c r="R5" s="151"/>
    </row>
    <row r="6" spans="1:18" s="90" customFormat="1" ht="15">
      <c r="A6" s="1341"/>
      <c r="B6" s="473" t="s">
        <v>508</v>
      </c>
      <c r="C6" s="474" t="s">
        <v>220</v>
      </c>
      <c r="D6" s="471">
        <v>2</v>
      </c>
      <c r="E6" s="471">
        <v>2</v>
      </c>
      <c r="F6" s="468">
        <f>('COLETA URBANA'!E$9/'COLETA URBANA'!F$9)*J6</f>
        <v>2.0699999999999998</v>
      </c>
      <c r="G6" s="472">
        <f>H4</f>
        <v>0.2013888888888889</v>
      </c>
      <c r="H6" s="472">
        <f>G6+I6</f>
        <v>0.35416666666666663</v>
      </c>
      <c r="I6" s="472">
        <v>0.15277777777777776</v>
      </c>
      <c r="J6" s="468">
        <f>'COLETA URBANA'!F9</f>
        <v>23</v>
      </c>
      <c r="K6" s="471">
        <f>('COLETA URBANA'!H$9+'COLETA URBANA'!I$9)*2</f>
        <v>9.1999999999999993</v>
      </c>
      <c r="L6" s="475">
        <f>J6/7</f>
        <v>3.2857142857142856</v>
      </c>
      <c r="M6" s="471">
        <f>K6/25</f>
        <v>0.36799999999999999</v>
      </c>
      <c r="N6" s="470">
        <f>L6+M6</f>
        <v>3.6537142857142855</v>
      </c>
      <c r="O6" s="304"/>
      <c r="P6" s="305"/>
      <c r="Q6" s="151"/>
      <c r="R6" s="151"/>
    </row>
    <row r="7" spans="1:18" s="90" customFormat="1" ht="30.75" thickBot="1">
      <c r="A7" s="1342"/>
      <c r="B7" s="488" t="s">
        <v>221</v>
      </c>
      <c r="C7" s="489" t="s">
        <v>213</v>
      </c>
      <c r="D7" s="489">
        <v>3</v>
      </c>
      <c r="E7" s="489">
        <v>3</v>
      </c>
      <c r="F7" s="489">
        <f>0.09+0.23+0.26+0.24</f>
        <v>0.82000000000000006</v>
      </c>
      <c r="G7" s="490">
        <v>0.25</v>
      </c>
      <c r="H7" s="490">
        <f>G7+I7</f>
        <v>0.54374999999999996</v>
      </c>
      <c r="I7" s="490">
        <v>0.29375000000000001</v>
      </c>
      <c r="J7" s="491">
        <v>15.65</v>
      </c>
      <c r="K7" s="491">
        <v>192.49</v>
      </c>
      <c r="L7" s="489">
        <f>J7/7</f>
        <v>2.2357142857142858</v>
      </c>
      <c r="M7" s="489">
        <f>K7/40</f>
        <v>4.8122500000000006</v>
      </c>
      <c r="N7" s="492">
        <f>SUM(L7:M7)</f>
        <v>7.0479642857142863</v>
      </c>
      <c r="O7" s="304"/>
      <c r="P7" s="305"/>
      <c r="Q7" s="151"/>
      <c r="R7" s="151"/>
    </row>
    <row r="8" spans="1:18" ht="15">
      <c r="A8" s="1340" t="s">
        <v>139</v>
      </c>
      <c r="B8" s="476" t="s">
        <v>506</v>
      </c>
      <c r="C8" s="476" t="s">
        <v>220</v>
      </c>
      <c r="D8" s="476">
        <v>1</v>
      </c>
      <c r="E8" s="476">
        <v>1</v>
      </c>
      <c r="F8" s="477">
        <v>1.61</v>
      </c>
      <c r="G8" s="478">
        <v>8.3333333333333329E-2</v>
      </c>
      <c r="H8" s="478">
        <v>0.2013888888888889</v>
      </c>
      <c r="I8" s="478">
        <v>0.11805555555555557</v>
      </c>
      <c r="J8" s="477">
        <v>17.809999999999999</v>
      </c>
      <c r="K8" s="476">
        <v>7.2</v>
      </c>
      <c r="L8" s="476">
        <v>2.544285714285714</v>
      </c>
      <c r="M8" s="476">
        <v>0.28800000000000003</v>
      </c>
      <c r="N8" s="479">
        <v>2.8322857142857139</v>
      </c>
      <c r="O8" s="306"/>
      <c r="P8" s="151"/>
      <c r="Q8" s="151"/>
      <c r="R8" s="151"/>
    </row>
    <row r="9" spans="1:18" ht="15">
      <c r="A9" s="1341"/>
      <c r="B9" s="467" t="s">
        <v>507</v>
      </c>
      <c r="C9" s="467" t="s">
        <v>220</v>
      </c>
      <c r="D9" s="467">
        <v>2</v>
      </c>
      <c r="E9" s="467">
        <v>2</v>
      </c>
      <c r="F9" s="468">
        <v>1.59</v>
      </c>
      <c r="G9" s="469">
        <v>8.3333333333333329E-2</v>
      </c>
      <c r="H9" s="469">
        <v>0.2013888888888889</v>
      </c>
      <c r="I9" s="469">
        <v>0.11805555555555557</v>
      </c>
      <c r="J9" s="468">
        <v>17.690000000000001</v>
      </c>
      <c r="K9" s="467">
        <v>7.2</v>
      </c>
      <c r="L9" s="467">
        <v>2.5271428571428571</v>
      </c>
      <c r="M9" s="467">
        <v>0.28800000000000003</v>
      </c>
      <c r="N9" s="470">
        <v>2.8151428571428569</v>
      </c>
      <c r="O9" s="304"/>
      <c r="P9" s="304"/>
      <c r="Q9" s="151"/>
      <c r="R9" s="151"/>
    </row>
    <row r="10" spans="1:18" ht="15">
      <c r="A10" s="1341"/>
      <c r="B10" s="471" t="s">
        <v>509</v>
      </c>
      <c r="C10" s="471" t="s">
        <v>220</v>
      </c>
      <c r="D10" s="471">
        <v>1</v>
      </c>
      <c r="E10" s="471">
        <v>1</v>
      </c>
      <c r="F10" s="471">
        <v>2.35</v>
      </c>
      <c r="G10" s="472">
        <v>0.2013888888888889</v>
      </c>
      <c r="H10" s="472">
        <v>0.375</v>
      </c>
      <c r="I10" s="472">
        <v>0.17361111111111113</v>
      </c>
      <c r="J10" s="480">
        <v>26</v>
      </c>
      <c r="K10" s="471">
        <v>11.2</v>
      </c>
      <c r="L10" s="467">
        <v>3.7142857142857144</v>
      </c>
      <c r="M10" s="467">
        <v>0.44799999999999995</v>
      </c>
      <c r="N10" s="470">
        <v>4.1622857142857139</v>
      </c>
      <c r="O10" s="306"/>
      <c r="P10" s="304"/>
      <c r="Q10" s="151"/>
      <c r="R10" s="151"/>
    </row>
    <row r="11" spans="1:18" s="91" customFormat="1" ht="15">
      <c r="A11" s="1342"/>
      <c r="B11" s="473" t="s">
        <v>508</v>
      </c>
      <c r="C11" s="474" t="s">
        <v>220</v>
      </c>
      <c r="D11" s="471">
        <v>2</v>
      </c>
      <c r="E11" s="471">
        <v>2</v>
      </c>
      <c r="F11" s="468">
        <v>2.0699999999999998</v>
      </c>
      <c r="G11" s="472">
        <v>0.2013888888888889</v>
      </c>
      <c r="H11" s="472">
        <v>0.35416666666666663</v>
      </c>
      <c r="I11" s="472">
        <v>0.15277777777777776</v>
      </c>
      <c r="J11" s="480">
        <v>23</v>
      </c>
      <c r="K11" s="471">
        <v>9.1999999999999993</v>
      </c>
      <c r="L11" s="475">
        <v>3.2857142857142856</v>
      </c>
      <c r="M11" s="471">
        <v>0.36799999999999999</v>
      </c>
      <c r="N11" s="470">
        <v>3.6537142857142855</v>
      </c>
      <c r="O11" s="306"/>
      <c r="P11" s="304"/>
      <c r="Q11" s="151"/>
      <c r="R11" s="151"/>
    </row>
    <row r="12" spans="1:18" s="90" customFormat="1" ht="15.75" thickBot="1">
      <c r="A12" s="1343"/>
      <c r="B12" s="493" t="s">
        <v>223</v>
      </c>
      <c r="C12" s="493" t="s">
        <v>213</v>
      </c>
      <c r="D12" s="493">
        <v>3</v>
      </c>
      <c r="E12" s="493">
        <v>3</v>
      </c>
      <c r="F12" s="494">
        <f>'COLETA RURAL'!H10</f>
        <v>1.204</v>
      </c>
      <c r="G12" s="495">
        <v>0.25</v>
      </c>
      <c r="H12" s="495">
        <f>G12+I12</f>
        <v>0.3034722222222222</v>
      </c>
      <c r="I12" s="495">
        <v>5.347222222222222E-2</v>
      </c>
      <c r="J12" s="493">
        <v>1.98</v>
      </c>
      <c r="K12" s="493">
        <f>'COLETA RURAL'!I10</f>
        <v>62.48</v>
      </c>
      <c r="L12" s="493">
        <f>J12/7</f>
        <v>0.28285714285714286</v>
      </c>
      <c r="M12" s="493">
        <f>K12/40</f>
        <v>1.5619999999999998</v>
      </c>
      <c r="N12" s="496">
        <f>SUM(L12:M12)</f>
        <v>1.8448571428571428</v>
      </c>
      <c r="O12" s="306"/>
      <c r="P12" s="304"/>
      <c r="Q12" s="151"/>
      <c r="R12" s="151"/>
    </row>
    <row r="13" spans="1:18" ht="15">
      <c r="A13" s="1340" t="s">
        <v>138</v>
      </c>
      <c r="B13" s="476" t="s">
        <v>506</v>
      </c>
      <c r="C13" s="476" t="s">
        <v>220</v>
      </c>
      <c r="D13" s="476">
        <v>1</v>
      </c>
      <c r="E13" s="476">
        <v>1</v>
      </c>
      <c r="F13" s="477">
        <v>1.61</v>
      </c>
      <c r="G13" s="478">
        <v>8.3333333333333329E-2</v>
      </c>
      <c r="H13" s="478">
        <v>0.2013888888888889</v>
      </c>
      <c r="I13" s="478">
        <v>0.11805555555555557</v>
      </c>
      <c r="J13" s="477">
        <v>17.809999999999999</v>
      </c>
      <c r="K13" s="476">
        <v>7.2</v>
      </c>
      <c r="L13" s="476">
        <v>2.544285714285714</v>
      </c>
      <c r="M13" s="476">
        <v>0.28800000000000003</v>
      </c>
      <c r="N13" s="479">
        <v>2.8322857142857139</v>
      </c>
      <c r="O13" s="306"/>
      <c r="P13" s="304"/>
      <c r="Q13" s="151"/>
      <c r="R13" s="151"/>
    </row>
    <row r="14" spans="1:18" ht="15">
      <c r="A14" s="1341"/>
      <c r="B14" s="467" t="s">
        <v>507</v>
      </c>
      <c r="C14" s="467" t="s">
        <v>220</v>
      </c>
      <c r="D14" s="467">
        <v>2</v>
      </c>
      <c r="E14" s="467">
        <v>2</v>
      </c>
      <c r="F14" s="468">
        <v>1.59</v>
      </c>
      <c r="G14" s="469">
        <v>8.3333333333333329E-2</v>
      </c>
      <c r="H14" s="469">
        <v>0.2013888888888889</v>
      </c>
      <c r="I14" s="469">
        <v>0.11805555555555557</v>
      </c>
      <c r="J14" s="468">
        <v>17.690000000000001</v>
      </c>
      <c r="K14" s="467">
        <v>7.2</v>
      </c>
      <c r="L14" s="467">
        <v>2.5271428571428571</v>
      </c>
      <c r="M14" s="467">
        <v>0.28800000000000003</v>
      </c>
      <c r="N14" s="470">
        <v>2.8151428571428569</v>
      </c>
      <c r="O14" s="306"/>
      <c r="P14" s="306"/>
      <c r="Q14" s="151"/>
      <c r="R14" s="151"/>
    </row>
    <row r="15" spans="1:18" ht="15">
      <c r="A15" s="1341"/>
      <c r="B15" s="471" t="s">
        <v>509</v>
      </c>
      <c r="C15" s="471" t="s">
        <v>220</v>
      </c>
      <c r="D15" s="471">
        <v>1</v>
      </c>
      <c r="E15" s="471">
        <v>1</v>
      </c>
      <c r="F15" s="471">
        <v>2.35</v>
      </c>
      <c r="G15" s="472">
        <v>0.2013888888888889</v>
      </c>
      <c r="H15" s="472">
        <v>0.375</v>
      </c>
      <c r="I15" s="472">
        <v>0.17361111111111113</v>
      </c>
      <c r="J15" s="480">
        <v>26</v>
      </c>
      <c r="K15" s="471">
        <v>11.2</v>
      </c>
      <c r="L15" s="467">
        <v>3.7142857142857144</v>
      </c>
      <c r="M15" s="467">
        <v>0.44799999999999995</v>
      </c>
      <c r="N15" s="470">
        <v>4.1622857142857139</v>
      </c>
      <c r="O15" s="306"/>
      <c r="P15" s="306"/>
      <c r="Q15" s="151"/>
      <c r="R15" s="151"/>
    </row>
    <row r="16" spans="1:18" s="91" customFormat="1" ht="15">
      <c r="A16" s="1342"/>
      <c r="B16" s="473" t="s">
        <v>508</v>
      </c>
      <c r="C16" s="474" t="s">
        <v>220</v>
      </c>
      <c r="D16" s="471">
        <v>2</v>
      </c>
      <c r="E16" s="471">
        <v>2</v>
      </c>
      <c r="F16" s="468">
        <v>2.0699999999999998</v>
      </c>
      <c r="G16" s="472">
        <v>0.2013888888888889</v>
      </c>
      <c r="H16" s="472">
        <v>0.35416666666666663</v>
      </c>
      <c r="I16" s="472">
        <v>0.15277777777777776</v>
      </c>
      <c r="J16" s="480">
        <v>23</v>
      </c>
      <c r="K16" s="471">
        <v>9.1999999999999993</v>
      </c>
      <c r="L16" s="475">
        <v>3.2857142857142856</v>
      </c>
      <c r="M16" s="471">
        <v>0.36799999999999999</v>
      </c>
      <c r="N16" s="470">
        <v>3.6537142857142855</v>
      </c>
      <c r="O16" s="306"/>
      <c r="P16" s="306"/>
      <c r="Q16" s="151"/>
      <c r="R16" s="151"/>
    </row>
    <row r="17" spans="1:25" s="90" customFormat="1" ht="15.75" thickBot="1">
      <c r="A17" s="1343"/>
      <c r="B17" s="493" t="s">
        <v>224</v>
      </c>
      <c r="C17" s="493" t="s">
        <v>213</v>
      </c>
      <c r="D17" s="493">
        <v>3</v>
      </c>
      <c r="E17" s="493">
        <v>3</v>
      </c>
      <c r="F17" s="494">
        <f>'COLETA RURAL'!H11+'COLETA RURAL'!H12</f>
        <v>0.97440000000000004</v>
      </c>
      <c r="G17" s="495">
        <v>0.25</v>
      </c>
      <c r="H17" s="495">
        <f>G17+I17</f>
        <v>0.47152777777777777</v>
      </c>
      <c r="I17" s="495">
        <v>0.22152777777777777</v>
      </c>
      <c r="J17" s="493">
        <f>4.61+2.71</f>
        <v>7.32</v>
      </c>
      <c r="K17" s="493">
        <v>158.69999999999999</v>
      </c>
      <c r="L17" s="493">
        <f>J17/7</f>
        <v>1.0457142857142858</v>
      </c>
      <c r="M17" s="493">
        <f>K17/40</f>
        <v>3.9674999999999998</v>
      </c>
      <c r="N17" s="496">
        <f>SUM(L17:M17)</f>
        <v>5.0132142857142856</v>
      </c>
      <c r="O17" s="306"/>
      <c r="P17" s="151"/>
      <c r="Q17" s="151"/>
      <c r="R17" s="151"/>
      <c r="X17" s="151"/>
      <c r="Y17" s="151"/>
    </row>
    <row r="18" spans="1:25" ht="15">
      <c r="A18" s="1340" t="s">
        <v>215</v>
      </c>
      <c r="B18" s="476" t="s">
        <v>506</v>
      </c>
      <c r="C18" s="476" t="s">
        <v>220</v>
      </c>
      <c r="D18" s="476">
        <v>1</v>
      </c>
      <c r="E18" s="476">
        <v>1</v>
      </c>
      <c r="F18" s="477">
        <v>1.61</v>
      </c>
      <c r="G18" s="478">
        <v>8.3333333333333329E-2</v>
      </c>
      <c r="H18" s="478">
        <v>0.2013888888888889</v>
      </c>
      <c r="I18" s="478">
        <v>0.11805555555555557</v>
      </c>
      <c r="J18" s="477">
        <v>17.809999999999999</v>
      </c>
      <c r="K18" s="476">
        <v>7.2</v>
      </c>
      <c r="L18" s="476">
        <v>2.544285714285714</v>
      </c>
      <c r="M18" s="476">
        <v>0.28800000000000003</v>
      </c>
      <c r="N18" s="479">
        <v>2.8322857142857139</v>
      </c>
      <c r="O18" s="306"/>
      <c r="P18" s="151"/>
      <c r="Q18" s="151"/>
      <c r="R18" s="151"/>
      <c r="X18" s="151"/>
      <c r="Y18" s="151"/>
    </row>
    <row r="19" spans="1:25" ht="15">
      <c r="A19" s="1341"/>
      <c r="B19" s="467" t="s">
        <v>507</v>
      </c>
      <c r="C19" s="467" t="s">
        <v>220</v>
      </c>
      <c r="D19" s="467">
        <v>2</v>
      </c>
      <c r="E19" s="467">
        <v>2</v>
      </c>
      <c r="F19" s="468">
        <v>1.59</v>
      </c>
      <c r="G19" s="469">
        <v>8.3333333333333329E-2</v>
      </c>
      <c r="H19" s="469">
        <v>0.2013888888888889</v>
      </c>
      <c r="I19" s="469">
        <v>0.11805555555555557</v>
      </c>
      <c r="J19" s="468">
        <v>17.690000000000001</v>
      </c>
      <c r="K19" s="467">
        <v>7.2</v>
      </c>
      <c r="L19" s="467">
        <v>2.5271428571428571</v>
      </c>
      <c r="M19" s="467">
        <v>0.28800000000000003</v>
      </c>
      <c r="N19" s="470">
        <v>2.8151428571428569</v>
      </c>
      <c r="O19" s="306"/>
      <c r="P19" s="306"/>
      <c r="Q19" s="151"/>
      <c r="R19" s="151"/>
    </row>
    <row r="20" spans="1:25" ht="15">
      <c r="A20" s="1341"/>
      <c r="B20" s="471" t="s">
        <v>509</v>
      </c>
      <c r="C20" s="471" t="s">
        <v>220</v>
      </c>
      <c r="D20" s="471">
        <v>1</v>
      </c>
      <c r="E20" s="471">
        <v>1</v>
      </c>
      <c r="F20" s="471">
        <v>2.35</v>
      </c>
      <c r="G20" s="472">
        <v>0.2013888888888889</v>
      </c>
      <c r="H20" s="472">
        <v>0.375</v>
      </c>
      <c r="I20" s="472">
        <v>0.17361111111111113</v>
      </c>
      <c r="J20" s="480">
        <v>26</v>
      </c>
      <c r="K20" s="471">
        <v>11.2</v>
      </c>
      <c r="L20" s="467">
        <v>3.7142857142857144</v>
      </c>
      <c r="M20" s="467">
        <v>0.44799999999999995</v>
      </c>
      <c r="N20" s="470">
        <v>4.1622857142857139</v>
      </c>
      <c r="O20" s="306"/>
      <c r="P20" s="151"/>
      <c r="Q20" s="151"/>
      <c r="R20" s="151"/>
    </row>
    <row r="21" spans="1:25" s="91" customFormat="1" ht="15">
      <c r="A21" s="1342"/>
      <c r="B21" s="473" t="s">
        <v>508</v>
      </c>
      <c r="C21" s="474" t="s">
        <v>220</v>
      </c>
      <c r="D21" s="471">
        <v>2</v>
      </c>
      <c r="E21" s="471">
        <v>2</v>
      </c>
      <c r="F21" s="468">
        <v>2.0699999999999998</v>
      </c>
      <c r="G21" s="472">
        <v>0.2013888888888889</v>
      </c>
      <c r="H21" s="472">
        <v>0.35416666666666663</v>
      </c>
      <c r="I21" s="472">
        <v>0.15277777777777776</v>
      </c>
      <c r="J21" s="480">
        <v>23</v>
      </c>
      <c r="K21" s="471">
        <v>9.1999999999999993</v>
      </c>
      <c r="L21" s="475">
        <v>3.2857142857142856</v>
      </c>
      <c r="M21" s="471">
        <v>0.36799999999999999</v>
      </c>
      <c r="N21" s="470">
        <v>3.6537142857142855</v>
      </c>
      <c r="O21" s="306"/>
      <c r="P21" s="151"/>
      <c r="Q21" s="151"/>
      <c r="R21" s="151"/>
    </row>
    <row r="22" spans="1:25" ht="15.75" thickBot="1">
      <c r="A22" s="1343"/>
      <c r="B22" s="493" t="s">
        <v>225</v>
      </c>
      <c r="C22" s="493" t="s">
        <v>213</v>
      </c>
      <c r="D22" s="493">
        <v>3</v>
      </c>
      <c r="E22" s="493">
        <v>3</v>
      </c>
      <c r="F22" s="494">
        <f>'COLETA RURAL'!H13+'COLETA RURAL'!H14</f>
        <v>2.1588000000000003</v>
      </c>
      <c r="G22" s="495">
        <v>0.25</v>
      </c>
      <c r="H22" s="495">
        <f>G22+I22</f>
        <v>0.46666666666666667</v>
      </c>
      <c r="I22" s="495">
        <v>0.21666666666666667</v>
      </c>
      <c r="J22" s="493">
        <f>2.2+9.09</f>
        <v>11.29</v>
      </c>
      <c r="K22" s="493">
        <v>143.80000000000001</v>
      </c>
      <c r="L22" s="493">
        <f>J22/7</f>
        <v>1.6128571428571428</v>
      </c>
      <c r="M22" s="493">
        <f>K22/40</f>
        <v>3.5950000000000002</v>
      </c>
      <c r="N22" s="496">
        <f>SUM(L22:M22)</f>
        <v>5.2078571428571427</v>
      </c>
      <c r="O22" s="151"/>
      <c r="P22" s="151"/>
      <c r="Q22" s="151"/>
      <c r="R22" s="151"/>
    </row>
    <row r="23" spans="1:25" ht="15">
      <c r="A23" s="1340" t="s">
        <v>216</v>
      </c>
      <c r="B23" s="476" t="s">
        <v>506</v>
      </c>
      <c r="C23" s="476" t="s">
        <v>220</v>
      </c>
      <c r="D23" s="476">
        <v>1</v>
      </c>
      <c r="E23" s="476">
        <v>1</v>
      </c>
      <c r="F23" s="477">
        <v>1.61</v>
      </c>
      <c r="G23" s="478">
        <v>8.3333333333333329E-2</v>
      </c>
      <c r="H23" s="478">
        <v>0.2013888888888889</v>
      </c>
      <c r="I23" s="478">
        <v>0.11805555555555557</v>
      </c>
      <c r="J23" s="477">
        <v>17.809999999999999</v>
      </c>
      <c r="K23" s="476">
        <v>7.2</v>
      </c>
      <c r="L23" s="476">
        <v>2.544285714285714</v>
      </c>
      <c r="M23" s="476">
        <v>0.28800000000000003</v>
      </c>
      <c r="N23" s="479">
        <v>2.8322857142857139</v>
      </c>
      <c r="O23" s="306"/>
      <c r="P23" s="151"/>
      <c r="Q23" s="151"/>
      <c r="R23" s="151"/>
    </row>
    <row r="24" spans="1:25" ht="15">
      <c r="A24" s="1341"/>
      <c r="B24" s="467" t="s">
        <v>507</v>
      </c>
      <c r="C24" s="467" t="s">
        <v>220</v>
      </c>
      <c r="D24" s="467">
        <v>2</v>
      </c>
      <c r="E24" s="467">
        <v>2</v>
      </c>
      <c r="F24" s="468">
        <v>1.59</v>
      </c>
      <c r="G24" s="469">
        <v>8.3333333333333329E-2</v>
      </c>
      <c r="H24" s="469">
        <v>0.2013888888888889</v>
      </c>
      <c r="I24" s="469">
        <v>0.11805555555555557</v>
      </c>
      <c r="J24" s="468">
        <v>17.690000000000001</v>
      </c>
      <c r="K24" s="467">
        <v>7.2</v>
      </c>
      <c r="L24" s="467">
        <v>2.5271428571428571</v>
      </c>
      <c r="M24" s="467">
        <v>0.28800000000000003</v>
      </c>
      <c r="N24" s="470">
        <v>2.8151428571428569</v>
      </c>
      <c r="O24" s="306"/>
      <c r="P24" s="306"/>
      <c r="Q24" s="151"/>
      <c r="R24" s="151"/>
    </row>
    <row r="25" spans="1:25" ht="15">
      <c r="A25" s="1341"/>
      <c r="B25" s="471" t="s">
        <v>509</v>
      </c>
      <c r="C25" s="471" t="s">
        <v>220</v>
      </c>
      <c r="D25" s="471">
        <v>1</v>
      </c>
      <c r="E25" s="471">
        <v>1</v>
      </c>
      <c r="F25" s="471">
        <v>2.35</v>
      </c>
      <c r="G25" s="472">
        <v>0.2013888888888889</v>
      </c>
      <c r="H25" s="472">
        <v>0.375</v>
      </c>
      <c r="I25" s="472">
        <v>0.17361111111111113</v>
      </c>
      <c r="J25" s="480">
        <v>26</v>
      </c>
      <c r="K25" s="471">
        <v>11.2</v>
      </c>
      <c r="L25" s="467">
        <v>3.7142857142857144</v>
      </c>
      <c r="M25" s="467">
        <v>0.44799999999999995</v>
      </c>
      <c r="N25" s="470">
        <v>4.1622857142857139</v>
      </c>
      <c r="O25" s="306"/>
      <c r="P25" s="151"/>
      <c r="Q25" s="151"/>
      <c r="R25" s="151"/>
    </row>
    <row r="26" spans="1:25" s="91" customFormat="1" ht="15">
      <c r="A26" s="1342"/>
      <c r="B26" s="473" t="s">
        <v>508</v>
      </c>
      <c r="C26" s="474" t="s">
        <v>220</v>
      </c>
      <c r="D26" s="471">
        <v>2</v>
      </c>
      <c r="E26" s="471">
        <v>2</v>
      </c>
      <c r="F26" s="468">
        <v>2.0699999999999998</v>
      </c>
      <c r="G26" s="472">
        <v>0.2013888888888889</v>
      </c>
      <c r="H26" s="472">
        <v>0.35416666666666663</v>
      </c>
      <c r="I26" s="472">
        <v>0.15277777777777776</v>
      </c>
      <c r="J26" s="480">
        <v>23</v>
      </c>
      <c r="K26" s="471">
        <v>9.1999999999999993</v>
      </c>
      <c r="L26" s="475">
        <v>3.2857142857142856</v>
      </c>
      <c r="M26" s="471">
        <v>0.36799999999999999</v>
      </c>
      <c r="N26" s="470">
        <v>3.6537142857142855</v>
      </c>
      <c r="O26" s="306"/>
      <c r="P26" s="151"/>
      <c r="Q26" s="151"/>
      <c r="R26" s="151"/>
    </row>
    <row r="27" spans="1:25" ht="15.75" thickBot="1">
      <c r="A27" s="1343"/>
      <c r="B27" s="493" t="s">
        <v>147</v>
      </c>
      <c r="C27" s="493" t="s">
        <v>213</v>
      </c>
      <c r="D27" s="493">
        <v>3</v>
      </c>
      <c r="E27" s="493">
        <v>3</v>
      </c>
      <c r="F27" s="494">
        <f>'COLETA RURAL'!H15</f>
        <v>0.16800000000000001</v>
      </c>
      <c r="G27" s="495">
        <v>0.25</v>
      </c>
      <c r="H27" s="495">
        <f>G27+I27</f>
        <v>0.28541666666666665</v>
      </c>
      <c r="I27" s="495">
        <v>3.5416666666666666E-2</v>
      </c>
      <c r="J27" s="493">
        <v>1.55</v>
      </c>
      <c r="K27" s="493">
        <f>'COLETA RURAL'!I15</f>
        <v>30.54</v>
      </c>
      <c r="L27" s="493">
        <f>J27/7</f>
        <v>0.22142857142857145</v>
      </c>
      <c r="M27" s="493">
        <f>K27/40</f>
        <v>0.76349999999999996</v>
      </c>
      <c r="N27" s="496">
        <f>SUM(L27:M27)</f>
        <v>0.98492857142857138</v>
      </c>
      <c r="O27" s="306"/>
      <c r="P27" s="151"/>
      <c r="Q27" s="151"/>
      <c r="R27" s="151"/>
    </row>
    <row r="28" spans="1:25" ht="15">
      <c r="A28" s="1340" t="s">
        <v>140</v>
      </c>
      <c r="B28" s="476" t="s">
        <v>506</v>
      </c>
      <c r="C28" s="476" t="s">
        <v>220</v>
      </c>
      <c r="D28" s="476">
        <v>1</v>
      </c>
      <c r="E28" s="476">
        <v>1</v>
      </c>
      <c r="F28" s="477">
        <v>1.61</v>
      </c>
      <c r="G28" s="478">
        <v>8.3333333333333329E-2</v>
      </c>
      <c r="H28" s="478">
        <v>0.2013888888888889</v>
      </c>
      <c r="I28" s="478">
        <v>0.11805555555555557</v>
      </c>
      <c r="J28" s="477">
        <v>17.809999999999999</v>
      </c>
      <c r="K28" s="476">
        <v>7.2</v>
      </c>
      <c r="L28" s="476">
        <v>2.544285714285714</v>
      </c>
      <c r="M28" s="476">
        <v>0.28800000000000003</v>
      </c>
      <c r="N28" s="479">
        <v>2.8322857142857139</v>
      </c>
      <c r="O28" s="151"/>
      <c r="P28" s="151"/>
      <c r="Q28" s="151"/>
      <c r="R28" s="151"/>
    </row>
    <row r="29" spans="1:25" ht="15">
      <c r="A29" s="1341"/>
      <c r="B29" s="467" t="s">
        <v>507</v>
      </c>
      <c r="C29" s="467" t="s">
        <v>220</v>
      </c>
      <c r="D29" s="467">
        <v>2</v>
      </c>
      <c r="E29" s="467">
        <v>2</v>
      </c>
      <c r="F29" s="468">
        <v>1.59</v>
      </c>
      <c r="G29" s="469">
        <v>8.3333333333333329E-2</v>
      </c>
      <c r="H29" s="469">
        <v>0.2013888888888889</v>
      </c>
      <c r="I29" s="469">
        <v>0.11805555555555557</v>
      </c>
      <c r="J29" s="468">
        <v>17.690000000000001</v>
      </c>
      <c r="K29" s="467">
        <v>7.2</v>
      </c>
      <c r="L29" s="467">
        <v>2.5271428571428571</v>
      </c>
      <c r="M29" s="467">
        <v>0.28800000000000003</v>
      </c>
      <c r="N29" s="470">
        <v>2.8151428571428569</v>
      </c>
      <c r="O29" s="306"/>
      <c r="P29" s="306"/>
      <c r="Q29" s="151"/>
      <c r="R29" s="151"/>
    </row>
    <row r="30" spans="1:25" ht="15">
      <c r="A30" s="1341"/>
      <c r="B30" s="471" t="s">
        <v>509</v>
      </c>
      <c r="C30" s="471" t="s">
        <v>220</v>
      </c>
      <c r="D30" s="471">
        <v>1</v>
      </c>
      <c r="E30" s="471">
        <v>1</v>
      </c>
      <c r="F30" s="471">
        <v>2.35</v>
      </c>
      <c r="G30" s="472">
        <v>0.2013888888888889</v>
      </c>
      <c r="H30" s="472">
        <v>0.375</v>
      </c>
      <c r="I30" s="472">
        <v>0.17361111111111113</v>
      </c>
      <c r="J30" s="480">
        <v>26</v>
      </c>
      <c r="K30" s="471">
        <v>11.2</v>
      </c>
      <c r="L30" s="467">
        <v>3.7142857142857144</v>
      </c>
      <c r="M30" s="467">
        <v>0.44799999999999995</v>
      </c>
      <c r="N30" s="470">
        <v>4.1622857142857139</v>
      </c>
      <c r="O30" s="307"/>
      <c r="P30" s="151"/>
      <c r="Q30" s="151"/>
      <c r="R30" s="151"/>
    </row>
    <row r="31" spans="1:25" ht="15.75" thickBot="1">
      <c r="A31" s="1343"/>
      <c r="B31" s="481" t="s">
        <v>508</v>
      </c>
      <c r="C31" s="482" t="s">
        <v>220</v>
      </c>
      <c r="D31" s="482">
        <v>2</v>
      </c>
      <c r="E31" s="482">
        <v>2</v>
      </c>
      <c r="F31" s="483">
        <v>2.0699999999999998</v>
      </c>
      <c r="G31" s="484">
        <v>0.2013888888888889</v>
      </c>
      <c r="H31" s="484">
        <v>0.35416666666666663</v>
      </c>
      <c r="I31" s="484">
        <v>0.15277777777777776</v>
      </c>
      <c r="J31" s="485">
        <v>23</v>
      </c>
      <c r="K31" s="482">
        <v>9.1999999999999993</v>
      </c>
      <c r="L31" s="486">
        <v>3.2857142857142856</v>
      </c>
      <c r="M31" s="482">
        <v>0.36799999999999999</v>
      </c>
      <c r="N31" s="487">
        <v>3.6537142857142855</v>
      </c>
      <c r="O31" s="151"/>
      <c r="P31" s="151"/>
      <c r="Q31" s="151"/>
      <c r="R31" s="151"/>
    </row>
    <row r="32" spans="1:25" ht="15">
      <c r="A32" s="683"/>
      <c r="B32" s="683"/>
      <c r="C32" s="683"/>
      <c r="D32" s="683"/>
      <c r="E32" s="683"/>
      <c r="F32" s="683"/>
      <c r="G32" s="683"/>
      <c r="H32" s="683"/>
      <c r="I32" s="683"/>
      <c r="J32" s="683"/>
      <c r="K32" s="683"/>
      <c r="L32" s="683"/>
      <c r="M32" s="683"/>
      <c r="N32" s="683"/>
      <c r="O32" s="151"/>
      <c r="P32" s="151"/>
      <c r="Q32" s="151"/>
      <c r="R32" s="151"/>
    </row>
    <row r="33" spans="1:18" ht="15">
      <c r="A33" s="664"/>
      <c r="B33" s="664"/>
      <c r="C33" s="664"/>
      <c r="D33" s="664"/>
      <c r="E33" s="664"/>
      <c r="F33" s="664"/>
      <c r="G33" s="664"/>
      <c r="H33" s="664"/>
      <c r="I33" s="664"/>
      <c r="J33" s="664"/>
      <c r="K33" s="664"/>
      <c r="L33" s="664"/>
      <c r="M33" s="664"/>
      <c r="N33" s="664"/>
      <c r="O33" s="151"/>
      <c r="P33" s="151"/>
      <c r="Q33" s="151"/>
      <c r="R33" s="151"/>
    </row>
    <row r="34" spans="1:18" ht="15">
      <c r="A34" s="664"/>
      <c r="B34" s="888"/>
      <c r="C34" s="888"/>
      <c r="D34" s="888"/>
      <c r="E34" s="888"/>
      <c r="F34" s="664"/>
      <c r="G34" s="664"/>
      <c r="H34" s="664"/>
      <c r="I34" s="664"/>
      <c r="J34" s="664"/>
      <c r="K34" s="664"/>
      <c r="L34" s="664"/>
      <c r="M34" s="664"/>
      <c r="N34" s="664"/>
      <c r="O34" s="151"/>
      <c r="P34" s="151"/>
      <c r="Q34" s="151"/>
      <c r="R34" s="151"/>
    </row>
    <row r="35" spans="1:18" ht="15">
      <c r="A35" s="686"/>
      <c r="B35" s="1334" t="s">
        <v>680</v>
      </c>
      <c r="C35" s="1334"/>
      <c r="D35" s="453" t="s">
        <v>236</v>
      </c>
      <c r="E35" s="453" t="s">
        <v>682</v>
      </c>
      <c r="F35" s="887"/>
      <c r="G35" s="664"/>
      <c r="H35" s="664"/>
      <c r="I35" s="664"/>
      <c r="J35" s="664"/>
      <c r="K35" s="664"/>
      <c r="L35" s="664"/>
      <c r="M35" s="664"/>
      <c r="N35" s="664"/>
      <c r="O35" s="151"/>
      <c r="P35" s="151"/>
      <c r="Q35" s="151"/>
      <c r="R35" s="151"/>
    </row>
    <row r="36" spans="1:18" ht="15">
      <c r="A36" s="636"/>
      <c r="B36" s="1334"/>
      <c r="C36" s="1334"/>
      <c r="D36" s="453" t="s">
        <v>234</v>
      </c>
      <c r="E36" s="638" t="s">
        <v>235</v>
      </c>
      <c r="F36" s="637"/>
      <c r="G36" s="616"/>
      <c r="H36" s="616"/>
      <c r="I36" s="616"/>
      <c r="J36" s="616"/>
      <c r="K36" s="616"/>
      <c r="L36" s="616"/>
      <c r="M36" s="616"/>
      <c r="N36" s="616"/>
    </row>
    <row r="37" spans="1:18" s="93" customFormat="1" ht="15" customHeight="1">
      <c r="A37" s="636"/>
      <c r="B37" s="1335" t="s">
        <v>681</v>
      </c>
      <c r="C37" s="1335"/>
      <c r="D37" s="1336" t="s">
        <v>683</v>
      </c>
      <c r="E37" s="1334" t="s">
        <v>684</v>
      </c>
      <c r="F37" s="637"/>
      <c r="G37" s="616"/>
      <c r="H37" s="616"/>
      <c r="I37" s="616"/>
      <c r="J37" s="616"/>
      <c r="K37" s="616"/>
      <c r="L37" s="616"/>
      <c r="M37" s="616"/>
      <c r="N37" s="616"/>
    </row>
    <row r="38" spans="1:18">
      <c r="A38" s="636"/>
      <c r="B38" s="1335"/>
      <c r="C38" s="1335"/>
      <c r="D38" s="1336"/>
      <c r="E38" s="1334"/>
      <c r="F38" s="637"/>
      <c r="G38" s="616"/>
      <c r="H38" s="616"/>
      <c r="I38" s="616"/>
      <c r="J38" s="616"/>
      <c r="K38" s="616"/>
      <c r="L38" s="616"/>
      <c r="M38" s="616"/>
      <c r="N38" s="616"/>
    </row>
    <row r="39" spans="1:18">
      <c r="A39" s="616"/>
      <c r="B39" s="619" t="s">
        <v>233</v>
      </c>
      <c r="C39" s="619"/>
      <c r="D39" s="619"/>
      <c r="E39" s="619"/>
      <c r="F39" s="616"/>
      <c r="G39" s="616"/>
      <c r="H39" s="616"/>
      <c r="I39" s="616"/>
      <c r="J39" s="616"/>
      <c r="K39" s="616"/>
      <c r="L39" s="616"/>
      <c r="M39" s="616"/>
      <c r="N39" s="616"/>
    </row>
    <row r="40" spans="1:18">
      <c r="A40" s="616"/>
      <c r="B40" s="616"/>
      <c r="C40" s="616"/>
      <c r="D40" s="616"/>
      <c r="E40" s="616"/>
      <c r="F40" s="616"/>
      <c r="G40" s="616"/>
      <c r="H40" s="616"/>
      <c r="I40" s="616"/>
      <c r="J40" s="616"/>
      <c r="K40" s="616"/>
      <c r="L40" s="616"/>
      <c r="M40" s="616"/>
      <c r="N40" s="616"/>
    </row>
    <row r="41" spans="1:18">
      <c r="A41" s="616"/>
      <c r="B41" s="616"/>
      <c r="C41" s="616"/>
      <c r="D41" s="616"/>
      <c r="E41" s="616"/>
      <c r="F41" s="616"/>
      <c r="G41" s="616"/>
      <c r="H41" s="616"/>
      <c r="I41" s="616"/>
      <c r="J41" s="616"/>
      <c r="K41" s="616"/>
      <c r="L41" s="616"/>
      <c r="M41" s="616"/>
      <c r="N41" s="616"/>
    </row>
  </sheetData>
  <mergeCells count="11">
    <mergeCell ref="B35:C36"/>
    <mergeCell ref="B37:C38"/>
    <mergeCell ref="D37:D38"/>
    <mergeCell ref="E37:E38"/>
    <mergeCell ref="A1:N1"/>
    <mergeCell ref="A23:A27"/>
    <mergeCell ref="A28:A31"/>
    <mergeCell ref="A3:A7"/>
    <mergeCell ref="A8:A12"/>
    <mergeCell ref="A13:A17"/>
    <mergeCell ref="A18:A22"/>
  </mergeCells>
  <phoneticPr fontId="17" type="noConversion"/>
  <pageMargins left="0.7" right="0.7" top="0.75" bottom="0.75" header="0.3" footer="0.3"/>
  <pageSetup paperSize="9" scale="49" fitToHeight="0" orientation="portrait" r:id="rId1"/>
  <drawing r:id="rId2"/>
  <legacyDrawing r:id="rId3"/>
  <oleObjects>
    <mc:AlternateContent xmlns:mc="http://schemas.openxmlformats.org/markup-compatibility/2006">
      <mc:Choice Requires="x14">
        <oleObject progId="CorelDraw.Graphic.18" shapeId="26625" r:id="rId4">
          <objectPr defaultSize="0" autoPict="0" r:id="rId5">
            <anchor moveWithCells="1">
              <from>
                <xdr:col>3</xdr:col>
                <xdr:colOff>581025</xdr:colOff>
                <xdr:row>0</xdr:row>
                <xdr:rowOff>114300</xdr:rowOff>
              </from>
              <to>
                <xdr:col>5</xdr:col>
                <xdr:colOff>123825</xdr:colOff>
                <xdr:row>0</xdr:row>
                <xdr:rowOff>800100</xdr:rowOff>
              </to>
            </anchor>
          </objectPr>
        </oleObject>
      </mc:Choice>
      <mc:Fallback>
        <oleObject progId="CorelDraw.Graphic.18" shapeId="26625" r:id="rId4"/>
      </mc:Fallback>
    </mc:AlternateContent>
  </oleObjec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c D A A B Q S w M E F A A C A A g A + 3 K B X G F 5 0 g u n A A A A + A A A A B I A H A B D b 2 5 m a W c v U G F j a 2 F n Z S 5 4 b W w g o h g A K K A U A A A A A A A A A A A A A A A A A A A A A A A A A A A A h Y / B C o I w H I d f R X Z 3 m 2 Y o 8 n d C X R O i I L q O t X S k U 9 x s v l u H H q l X S C i r W 8 f f x 3 f 4 f o / b H f K x q b 2 r 7 I 1 q d Y Y C T J E n t W h P S p c Z G u z Z T 1 D O Y M v F h Z f S m 2 R t 0 t G c M l R Z 2 6 W E O O e w W + C 2 L 0 l I a U C O x W Y v K t l w 9 J H V f 9 l X 2 l i u h U Q M D q 8 Y F u I 4 w c s 4 o j h K A i A z h k L p r x J O x Z g C + Y G w H m o 7 9 J J 1 1 l / t g M w T y P s F e w J Q S w M E F A A C A A g A + 3 K B X 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P t y g V w o i k e 4 D g A A A B E A A A A T A B w A R m 9 y b X V s Y X M v U 2 V j d G l v b j E u b S C i G A A o o B Q A A A A A A A A A A A A A A A A A A A A A A A A A A A A r T k 0 u y c z P U w i G 0 I b W A F B L A Q I t A B Q A A g A I A P t y g V x h e d I L p w A A A P g A A A A S A A A A A A A A A A A A A A A A A A A A A A B D b 2 5 m a W c v U G F j a 2 F n Z S 5 4 b W x Q S w E C L Q A U A A I A C A D 7 c o F c D 8 r p q 6 Q A A A D p A A A A E w A A A A A A A A A A A A A A A A D z A A A A W 0 N v b n R l b n R f V H l w Z X N d L n h t b F B L A Q I t A B Q A A g A I A P t y g V w o i k e 4 D g A A A B E A A A A T A A A A A A A A A A A A A A A A A O Q B A A B G b 3 J t d W x h c y 9 T Z W N 0 a W 9 u M S 5 t U E s F B g A A A A A D A A M A w g A A A D 8 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C Y B A A A B A A A A 0 I y d 3 w E V 0 R G M e g D A T 8 K X 6 w E A A A B F i x s t R S 7 R Q Y H 3 4 u w f D V P J A A A A A A I A A A A A A B B m A A A A A Q A A I A A A A A j u R d q u c I D 7 5 + d b E j / A y N 5 d t I F S S C + C 8 R 3 S X l H O j v T L A A A A A A 6 A A A A A A g A A I A A A A N K s 1 q o 1 Y J l f 2 q 5 t l q u F r O w k b t H 7 e Q g j T N 7 / Z S v v W K t A U A A A A N G Y s p p Z I u p j p G f u d W a u U M d W K P o s S E N z k y 5 B / Q O x 8 u L y I + w B F l 7 V P C n x N o 8 k G S c 9 T a n u a l 7 R s v H A 7 B U J V Y 9 K g T 6 I R f n z M n Z j l z t M h Q 1 7 a z 8 l Q A A A A I M w + s X 0 P x w e + 6 S D I W G A t C L g 6 W a A K L f 1 u F 9 p K b / X / p / w i / 9 L I h a f B T j q H i W B a Q 1 6 y y X + I x u G B Q A M 6 n A 4 w 1 Y f s n 0 = < / D a t a M a s h u p > 
</file>

<file path=customXml/itemProps1.xml><?xml version="1.0" encoding="utf-8"?>
<ds:datastoreItem xmlns:ds="http://schemas.openxmlformats.org/officeDocument/2006/customXml" ds:itemID="{195C08FD-0634-417A-9D3F-F8D7D51936FA}">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17</vt:i4>
      </vt:variant>
      <vt:variant>
        <vt:lpstr>Intervalos Nomeados</vt:lpstr>
      </vt:variant>
      <vt:variant>
        <vt:i4>22</vt:i4>
      </vt:variant>
    </vt:vector>
  </HeadingPairs>
  <TitlesOfParts>
    <vt:vector size="39" baseType="lpstr">
      <vt:lpstr>INF. BÁSICAS</vt:lpstr>
      <vt:lpstr>ENCARGOS</vt:lpstr>
      <vt:lpstr>EPI</vt:lpstr>
      <vt:lpstr>BDI</vt:lpstr>
      <vt:lpstr>COLETA URBANA</vt:lpstr>
      <vt:lpstr>COLETA RURAL</vt:lpstr>
      <vt:lpstr>CAMINHÃO BASC. URBANO</vt:lpstr>
      <vt:lpstr>CAMINHÃO BASC. RURAL</vt:lpstr>
      <vt:lpstr>CRONOGRAMA DE COLETA</vt:lpstr>
      <vt:lpstr>M.O. COLETA</vt:lpstr>
      <vt:lpstr>RESUMO COLETA URB</vt:lpstr>
      <vt:lpstr>RESUMO COLETA RURAL</vt:lpstr>
      <vt:lpstr>VEÍCULO UTILITÁRIO - PICKUP</vt:lpstr>
      <vt:lpstr>M.O. ADM LOCAL</vt:lpstr>
      <vt:lpstr>ADM. LOCAL</vt:lpstr>
      <vt:lpstr>RESUMO GLOBAL</vt:lpstr>
      <vt:lpstr>CRONOGRAMA FÍSICO FINANCEIRO</vt:lpstr>
      <vt:lpstr>'ADM. LOCAL'!Area_de_impressao</vt:lpstr>
      <vt:lpstr>'CAMINHÃO BASC. URBANO'!Area_de_impressao</vt:lpstr>
      <vt:lpstr>'COLETA RURAL'!Area_de_impressao</vt:lpstr>
      <vt:lpstr>'COLETA URBANA'!Area_de_impressao</vt:lpstr>
      <vt:lpstr>'CRONOGRAMA DE COLETA'!Area_de_impressao</vt:lpstr>
      <vt:lpstr>'CRONOGRAMA FÍSICO FINANCEIRO'!Area_de_impressao</vt:lpstr>
      <vt:lpstr>ENCARGOS!Area_de_impressao</vt:lpstr>
      <vt:lpstr>EPI!Area_de_impressao</vt:lpstr>
      <vt:lpstr>'INF. BÁSICAS'!Area_de_impressao</vt:lpstr>
      <vt:lpstr>'M.O. ADM LOCAL'!Area_de_impressao</vt:lpstr>
      <vt:lpstr>'M.O. COLETA'!Area_de_impressao</vt:lpstr>
      <vt:lpstr>'RESUMO COLETA RURAL'!Area_de_impressao</vt:lpstr>
      <vt:lpstr>'RESUMO COLETA URB'!Area_de_impressao</vt:lpstr>
      <vt:lpstr>'RESUMO GLOBAL'!Area_de_impressao</vt:lpstr>
      <vt:lpstr>'VEÍCULO UTILITÁRIO - PICKUP'!Area_de_impressao</vt:lpstr>
      <vt:lpstr>dias_mes</vt:lpstr>
      <vt:lpstr>dias_seg_sex</vt:lpstr>
      <vt:lpstr>DIESEL</vt:lpstr>
      <vt:lpstr>encargos</vt:lpstr>
      <vt:lpstr>GASOLINA</vt:lpstr>
      <vt:lpstr>SELIC</vt:lpstr>
      <vt:lpstr>semanas_mês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Douglas Ribeiro</dc:creator>
  <cp:lastModifiedBy>PPO-USER</cp:lastModifiedBy>
  <cp:lastPrinted>2026-05-26T10:48:09Z</cp:lastPrinted>
  <dcterms:created xsi:type="dcterms:W3CDTF">2025-01-25T22:41:42Z</dcterms:created>
  <dcterms:modified xsi:type="dcterms:W3CDTF">2026-05-26T10:48:36Z</dcterms:modified>
</cp:coreProperties>
</file>